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. Vorlagen\"/>
    </mc:Choice>
  </mc:AlternateContent>
  <bookViews>
    <workbookView xWindow="0" yWindow="0" windowWidth="23040" windowHeight="9210"/>
  </bookViews>
  <sheets>
    <sheet name="AFP" sheetId="2" r:id="rId1"/>
    <sheet name="Anlage" sheetId="3" r:id="rId2"/>
  </sheets>
  <definedNames>
    <definedName name="_xlnm.Print_Area" localSheetId="1">Anlage!$A$1:$L$27</definedName>
  </definedNames>
  <calcPr calcId="162913"/>
</workbook>
</file>

<file path=xl/calcChain.xml><?xml version="1.0" encoding="utf-8"?>
<calcChain xmlns="http://schemas.openxmlformats.org/spreadsheetml/2006/main">
  <c r="N19" i="3" l="1"/>
  <c r="D4" i="3" l="1"/>
  <c r="D5" i="3"/>
  <c r="K1" i="3"/>
  <c r="E9" i="3" l="1"/>
  <c r="L16" i="3" l="1"/>
  <c r="K15" i="3"/>
  <c r="J14" i="3"/>
  <c r="J17" i="3" s="1"/>
  <c r="J18" i="3" s="1"/>
  <c r="I13" i="3"/>
  <c r="H12" i="3"/>
  <c r="G11" i="3"/>
  <c r="F10" i="3"/>
  <c r="K17" i="3"/>
  <c r="K18" i="3" s="1"/>
  <c r="G17" i="3"/>
  <c r="G18" i="3" s="1"/>
  <c r="F17" i="3"/>
  <c r="F18" i="3" s="1"/>
  <c r="D25" i="3"/>
  <c r="L17" i="3"/>
  <c r="L18" i="3" s="1"/>
  <c r="I17" i="3"/>
  <c r="I18" i="3" s="1"/>
  <c r="H17" i="3"/>
  <c r="H18" i="3" s="1"/>
  <c r="D17" i="3"/>
  <c r="P6" i="2" l="1"/>
  <c r="L18" i="2" l="1"/>
  <c r="L10" i="2"/>
  <c r="P17" i="2" l="1"/>
  <c r="L26" i="2" s="1"/>
  <c r="E17" i="3" l="1"/>
  <c r="E18" i="3" s="1"/>
  <c r="D18" i="3" s="1"/>
  <c r="D26" i="3" l="1"/>
  <c r="G19" i="3"/>
  <c r="K19" i="3"/>
  <c r="F19" i="3"/>
  <c r="I19" i="3"/>
  <c r="I20" i="3" s="1"/>
  <c r="E19" i="3"/>
  <c r="J19" i="3"/>
  <c r="H19" i="3"/>
  <c r="J23" i="3" l="1"/>
  <c r="J22" i="3"/>
  <c r="E20" i="3"/>
  <c r="E21" i="3"/>
  <c r="E22" i="3"/>
  <c r="E24" i="3"/>
  <c r="I21" i="3"/>
  <c r="I22" i="3"/>
  <c r="F23" i="3"/>
  <c r="F22" i="3"/>
  <c r="F24" i="3"/>
  <c r="F21" i="3"/>
  <c r="F20" i="3"/>
  <c r="K24" i="3"/>
  <c r="K23" i="3"/>
  <c r="K20" i="3"/>
  <c r="K22" i="3"/>
  <c r="I24" i="3"/>
  <c r="G24" i="3"/>
  <c r="G23" i="3"/>
  <c r="G22" i="3"/>
  <c r="G21" i="3"/>
  <c r="G20" i="3"/>
  <c r="J24" i="3"/>
  <c r="J21" i="3"/>
  <c r="J20" i="3"/>
  <c r="E23" i="3"/>
  <c r="M19" i="3"/>
  <c r="I23" i="3"/>
  <c r="K21" i="3"/>
  <c r="H24" i="3"/>
  <c r="H23" i="3"/>
  <c r="H22" i="3"/>
  <c r="H21" i="3"/>
  <c r="H20" i="3"/>
  <c r="F25" i="3" l="1"/>
  <c r="F26" i="3" s="1"/>
  <c r="E9" i="2" s="1"/>
  <c r="J25" i="3"/>
  <c r="J26" i="3" s="1"/>
  <c r="I9" i="2" s="1"/>
  <c r="I11" i="2" s="1"/>
  <c r="H25" i="3"/>
  <c r="H26" i="3" s="1"/>
  <c r="G9" i="2" s="1"/>
  <c r="I25" i="3"/>
  <c r="I26" i="3" s="1"/>
  <c r="H9" i="2" s="1"/>
  <c r="H11" i="2" s="1"/>
  <c r="G25" i="3"/>
  <c r="G26" i="3" s="1"/>
  <c r="F9" i="2" s="1"/>
  <c r="F11" i="2" s="1"/>
  <c r="E25" i="3"/>
  <c r="K25" i="3"/>
  <c r="K26" i="3" s="1"/>
  <c r="J9" i="2" s="1"/>
  <c r="L26" i="3"/>
  <c r="K9" i="2" s="1"/>
  <c r="E26" i="3" l="1"/>
  <c r="D9" i="2" s="1"/>
  <c r="M29" i="3"/>
  <c r="J11" i="2"/>
  <c r="D11" i="2"/>
  <c r="L9" i="2"/>
  <c r="G12" i="2"/>
  <c r="G11" i="2"/>
  <c r="D12" i="2" l="1"/>
  <c r="I12" i="2"/>
  <c r="H12" i="2"/>
  <c r="F12" i="2"/>
  <c r="J12" i="2"/>
  <c r="L11" i="2"/>
  <c r="L12" i="2" l="1"/>
  <c r="L14" i="2" s="1"/>
  <c r="L15" i="2" l="1"/>
  <c r="J15" i="2" l="1"/>
  <c r="H15" i="2"/>
  <c r="H16" i="2" l="1"/>
  <c r="I15" i="2"/>
  <c r="J16" i="2"/>
  <c r="J18" i="2" s="1"/>
  <c r="I16" i="2" l="1"/>
  <c r="I18" i="2" s="1"/>
  <c r="I19" i="2" s="1"/>
  <c r="I20" i="2" s="1"/>
  <c r="I25" i="2" s="1"/>
  <c r="H18" i="2"/>
  <c r="D15" i="2"/>
  <c r="D16" i="2" s="1"/>
  <c r="D18" i="2" l="1"/>
  <c r="H19" i="2"/>
  <c r="H20" i="2" s="1"/>
  <c r="H25" i="2" s="1"/>
  <c r="L25" i="2" s="1"/>
  <c r="J19" i="2"/>
  <c r="F15" i="2"/>
  <c r="D19" i="2" l="1"/>
  <c r="D20" i="2" s="1"/>
  <c r="K20" i="2"/>
  <c r="K24" i="2" s="1"/>
  <c r="J20" i="2"/>
  <c r="J24" i="2" s="1"/>
  <c r="F16" i="2"/>
  <c r="F18" i="2" s="1"/>
  <c r="F19" i="2" s="1"/>
  <c r="G15" i="2"/>
  <c r="G16" i="2" s="1"/>
  <c r="E20" i="2" l="1"/>
  <c r="E23" i="2" s="1"/>
  <c r="L24" i="2"/>
  <c r="L16" i="2"/>
  <c r="G18" i="2"/>
  <c r="G19" i="2" s="1"/>
  <c r="G20" i="2" s="1"/>
  <c r="G21" i="2" s="1"/>
  <c r="L21" i="2" s="1"/>
  <c r="D23" i="2"/>
  <c r="F20" i="2"/>
  <c r="F22" i="2" s="1"/>
  <c r="L22" i="2" s="1"/>
  <c r="L23" i="2" l="1"/>
  <c r="L20" i="2"/>
  <c r="P13" i="2" l="1"/>
  <c r="P14" i="2" s="1"/>
  <c r="P12" i="2"/>
  <c r="P15" i="2" s="1"/>
  <c r="P16" i="2" s="1"/>
  <c r="P21" i="2" l="1"/>
  <c r="P22" i="2" s="1"/>
  <c r="P23" i="2" s="1"/>
  <c r="P26" i="2" s="1"/>
  <c r="L27" i="2" l="1"/>
  <c r="L32" i="2" l="1"/>
  <c r="L28" i="2"/>
  <c r="L29" i="2" s="1"/>
  <c r="L31" i="2"/>
  <c r="L33" i="2"/>
  <c r="L34" i="2" l="1"/>
  <c r="L35" i="2"/>
  <c r="L36" i="2" s="1"/>
  <c r="L30" i="2" l="1"/>
  <c r="L37" i="2" s="1"/>
  <c r="O32" i="2" s="1"/>
  <c r="O34" i="2" s="1"/>
</calcChain>
</file>

<file path=xl/comments1.xml><?xml version="1.0" encoding="utf-8"?>
<comments xmlns="http://schemas.openxmlformats.org/spreadsheetml/2006/main">
  <authors>
    <author>StALU WM-IFb (Herr Klevenow)</author>
    <author>staluwm-22</author>
    <author>VI-300a</author>
    <author>StALUWM-22b</author>
    <author>staluwm-22b</author>
  </authors>
  <commentList>
    <comment ref="B9" authorId="0" shapeId="0">
      <text>
        <r>
          <rPr>
            <sz val="9"/>
            <color indexed="81"/>
            <rFont val="Segoe UI"/>
            <family val="2"/>
          </rPr>
          <t xml:space="preserve">ff. Ausgaben für die Errichtung oder Modernisierung von unbeweglichen Vermögen, Kauf von neuen Maschinen und  Anlagen der Innenwirtschaft, Architeckten-u. Ingenieurleistungen </t>
        </r>
      </text>
    </comment>
    <comment ref="N9" authorId="1" shapeId="0">
      <text>
        <r>
          <rPr>
            <b/>
            <sz val="9"/>
            <color indexed="81"/>
            <rFont val="Tahoma"/>
            <family val="2"/>
          </rPr>
          <t>staluwm-IFb:</t>
        </r>
        <r>
          <rPr>
            <sz val="9"/>
            <color indexed="81"/>
            <rFont val="Tahoma"/>
            <family val="2"/>
          </rPr>
          <t xml:space="preserve">
bei baulichen Maßnahmen von mehr als 100.000 € 
</t>
        </r>
      </text>
    </comment>
    <comment ref="B13" authorId="2" shapeId="0">
      <text>
        <r>
          <rPr>
            <sz val="8"/>
            <color indexed="81"/>
            <rFont val="Tahoma"/>
            <family val="2"/>
          </rPr>
          <t xml:space="preserve">ab 2023 </t>
        </r>
        <r>
          <rPr>
            <sz val="10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 Anspruch genommenes förderfähiges Investitionsvolumen </t>
        </r>
        <r>
          <rPr>
            <b/>
            <sz val="9"/>
            <color indexed="81"/>
            <rFont val="Tahoma"/>
            <family val="2"/>
          </rPr>
          <t>plus förderfähige Betreuergebühren</t>
        </r>
        <r>
          <rPr>
            <sz val="9"/>
            <color indexed="81"/>
            <rFont val="Tahoma"/>
            <family val="2"/>
          </rPr>
          <t xml:space="preserve"> (Zuschuss Betreuung X 100 : 60</t>
        </r>
        <r>
          <rPr>
            <sz val="10"/>
            <color indexed="81"/>
            <rFont val="Tahoma"/>
            <family val="2"/>
          </rPr>
          <t xml:space="preserve">) 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 xml:space="preserve">Sockelbetrag = 6.000 € </t>
        </r>
        <r>
          <rPr>
            <sz val="9"/>
            <color indexed="81"/>
            <rFont val="Tahoma"/>
            <family val="2"/>
          </rPr>
          <t xml:space="preserve">bei einem zuwendungsfähigen Investitionsvolumen größer 100.000 € und kleiner 240.000 € bei Ausgaben für Betreuung von mindestens 6.000 € Netto,
</t>
        </r>
        <r>
          <rPr>
            <b/>
            <sz val="9"/>
            <color indexed="81"/>
            <rFont val="Tahoma"/>
            <family val="2"/>
          </rPr>
          <t>Höchstbetrag = 17.500 €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17" authorId="3" shapeId="0">
      <text>
        <r>
          <rPr>
            <sz val="9"/>
            <color indexed="81"/>
            <rFont val="Tahoma"/>
            <family val="2"/>
          </rPr>
          <t>ab 2023
 in Anspruch genommenes förderfähiges Investitionsvolumen plus förderfähige Betreuergebühren (Zuschuss Betreuung X 100 : 60</t>
        </r>
        <r>
          <rPr>
            <sz val="10"/>
            <color indexed="81"/>
            <rFont val="Tahoma"/>
            <family val="2"/>
          </rPr>
          <t>)</t>
        </r>
      </text>
    </comment>
    <comment ref="N17" authorId="4" shapeId="0">
      <text>
        <r>
          <rPr>
            <sz val="9"/>
            <color indexed="81"/>
            <rFont val="Tahoma"/>
            <family val="2"/>
          </rPr>
          <t>60 % von den förderfähigen Nettoausgaben für Betreuung max. 10.500 €</t>
        </r>
      </text>
    </comment>
    <comment ref="B19" authorId="4" shapeId="0">
      <text>
        <r>
          <rPr>
            <sz val="9"/>
            <color indexed="81"/>
            <rFont val="Tahoma"/>
            <family val="2"/>
          </rPr>
          <t>Das Mindestinvestitionsvolumen muss bei Installation eines weichen oder elastisch verformbaren Liegebreichs bei der Kälberhaltung 10.000 € ansonsten 
20.000,00 € betragen.</t>
        </r>
      </text>
    </comment>
    <comment ref="N21" authorId="0" shapeId="0">
      <text>
        <r>
          <rPr>
            <sz val="9"/>
            <color indexed="81"/>
            <rFont val="Segoe UI"/>
            <family val="2"/>
          </rPr>
          <t xml:space="preserve">inklusive förderfähiger Betreuergebühren
</t>
        </r>
      </text>
    </comment>
    <comment ref="N24" authorId="1" shapeId="0">
      <text>
        <r>
          <rPr>
            <sz val="9"/>
            <color indexed="81"/>
            <rFont val="Tahoma"/>
            <family val="2"/>
          </rPr>
          <t>&lt; 41 Jahre</t>
        </r>
      </text>
    </comment>
    <comment ref="N25" authorId="1" shapeId="0">
      <text>
        <r>
          <rPr>
            <sz val="9"/>
            <color indexed="81"/>
            <rFont val="Tahoma"/>
            <family val="2"/>
          </rPr>
          <t xml:space="preserve">
mindestens 50%
</t>
        </r>
      </text>
    </comment>
    <comment ref="B29" authorId="4" shapeId="0">
      <text>
        <r>
          <rPr>
            <sz val="9"/>
            <color indexed="81"/>
            <rFont val="Tahoma"/>
            <family val="2"/>
          </rPr>
          <t xml:space="preserve">Der Gesamtwert der gewährten Zwendung darf 65 % der ff. Ausgaben (Errichtung oder Modernisierung von unbeweglichen Vermögen, Kauf von neuen Maschinen und Anlagen der Innenwirtschaft, Architeckten-u. Ingenieurleistungen </t>
        </r>
        <r>
          <rPr>
            <b/>
            <sz val="9"/>
            <color indexed="81"/>
            <rFont val="Tahoma"/>
            <family val="2"/>
          </rPr>
          <t>Berater- un</t>
        </r>
        <r>
          <rPr>
            <sz val="9"/>
            <color indexed="81"/>
            <rFont val="Tahoma"/>
            <family val="2"/>
          </rPr>
          <t xml:space="preserve">d </t>
        </r>
        <r>
          <rPr>
            <b/>
            <sz val="9"/>
            <color indexed="81"/>
            <rFont val="Tahoma"/>
            <family val="2"/>
          </rPr>
          <t>Betreuungsleistungen</t>
        </r>
        <r>
          <rPr>
            <sz val="9"/>
            <color indexed="81"/>
            <rFont val="Tahoma"/>
            <family val="2"/>
          </rPr>
          <t xml:space="preserve">) nicht überschreiten. Dies gilt nicht für Kooperationen und operationelle Gruppen. Aber je Unternehmen max. 1.000.000 Euro in den Jahren 2023 bis 2027.
</t>
        </r>
      </text>
    </comment>
  </commentList>
</comments>
</file>

<file path=xl/sharedStrings.xml><?xml version="1.0" encoding="utf-8"?>
<sst xmlns="http://schemas.openxmlformats.org/spreadsheetml/2006/main" count="112" uniqueCount="92">
  <si>
    <t>Zuschuss für Betreuung</t>
  </si>
  <si>
    <t>Summe</t>
  </si>
  <si>
    <t xml:space="preserve">Datum: </t>
  </si>
  <si>
    <t>Werte bitte nur in gelbe Felder eintragen</t>
  </si>
  <si>
    <t>Nettoausgaben für Betreuung</t>
  </si>
  <si>
    <t xml:space="preserve">ggf. Kürzung Obergrenze </t>
  </si>
  <si>
    <t>Kontrolle Obergrenze nach Anrechnung</t>
  </si>
  <si>
    <t>ggf. Kürzung  nach Anrechnung Obergrenze</t>
  </si>
  <si>
    <t>ggf. Kürzung  nach Anrechnung Beteiligungen</t>
  </si>
  <si>
    <t xml:space="preserve">Zuschuss Betreuung </t>
  </si>
  <si>
    <t>Alter des Antragstellers</t>
  </si>
  <si>
    <t>Zuschuss Junglandwirt</t>
  </si>
  <si>
    <t>Az:</t>
  </si>
  <si>
    <t>beantragter Zuschuss:</t>
  </si>
  <si>
    <t>Lauf- und Namenszeichen</t>
  </si>
  <si>
    <t>Summe Zuschuss</t>
  </si>
  <si>
    <t>Zwischensumme Zuschuss</t>
  </si>
  <si>
    <t>Zuwendungsempfänger (ZWE):</t>
  </si>
  <si>
    <t>20 % Zuschuss (Basis-/Allgemeinförderung)</t>
  </si>
  <si>
    <t>Zwischensumme</t>
  </si>
  <si>
    <t xml:space="preserve"> -5411.72</t>
  </si>
  <si>
    <t>zu bewilligender Zuschuss nach Prüfung Obergrenze max. 1 Mio. €</t>
  </si>
  <si>
    <t>Lfd. Nr.</t>
  </si>
  <si>
    <t xml:space="preserve">40 % Zuschuss </t>
  </si>
  <si>
    <t xml:space="preserve">bauliche Investitionen und  Melksysteme </t>
  </si>
  <si>
    <t xml:space="preserve">30 % Zuschuss </t>
  </si>
  <si>
    <t xml:space="preserve">40 % Zuschuss  </t>
  </si>
  <si>
    <t>50 % Zuschuss</t>
  </si>
  <si>
    <t>Bemessungsgrundlage ohne Aufwendungen für Baugenehmigung und Betreuung</t>
  </si>
  <si>
    <t>spezifische Investitionen zum Umwelt und Klimaschutz gemäß Anlage 2 Nr. 2 und Nr. 4</t>
  </si>
  <si>
    <t>Kombination Premiumförderung mit Maßnahmen zur Emissionsmin-derung in Stallbau-ten gem. Anlage 2 Nr. 1.2 bis 1.6</t>
  </si>
  <si>
    <t>1. Berechnung der Zuwendung</t>
  </si>
  <si>
    <t>Aufwendungen für Beratung bei nichtbetreuungspflichtigen Maßnahmen (netto)</t>
  </si>
  <si>
    <t>bauliches zuwendungsfähiges Investitionsvolumen</t>
  </si>
  <si>
    <t xml:space="preserve">zuwendungsfähiges Investitionsvolumen </t>
  </si>
  <si>
    <t>Zwischensumme zuwendungsfähige Betreuergebühren</t>
  </si>
  <si>
    <t>zuwendungsfähige Betreuergebühren</t>
  </si>
  <si>
    <t>zuwendungsfähiges Investitionsvolumen</t>
  </si>
  <si>
    <r>
      <t xml:space="preserve">Anrechnung des </t>
    </r>
    <r>
      <rPr>
        <u/>
        <sz val="9"/>
        <rFont val="Arial"/>
        <family val="2"/>
      </rPr>
      <t>verbrauchten</t>
    </r>
    <r>
      <rPr>
        <sz val="9"/>
        <rFont val="Arial"/>
        <family val="2"/>
      </rPr>
      <t xml:space="preserve"> zuwendungsfähigen Investitionsvolumen des Zuwendungsempfängers und dessen Beteiligungen an anderen Unternehmen (siehe Kommentar)</t>
    </r>
  </si>
  <si>
    <r>
      <rPr>
        <u/>
        <sz val="9"/>
        <rFont val="Arial"/>
        <family val="2"/>
      </rPr>
      <t>anrechenbares</t>
    </r>
    <r>
      <rPr>
        <sz val="9"/>
        <rFont val="Arial"/>
        <family val="2"/>
      </rPr>
      <t xml:space="preserve"> zuwendungsfähige Investitionsvolumen der Gesellschafter wegen Beteiligungen am Zuwendungsempfänger und an anderen Unternehmen (siehe Kommentar)</t>
    </r>
  </si>
  <si>
    <t>Zwischensumme max. zuwendungsfähiges Investitionsvolumen</t>
  </si>
  <si>
    <t>Umstellung der Haltung v. Jung- u. Zuchtsauen</t>
  </si>
  <si>
    <t>65 % Zuschuss</t>
  </si>
  <si>
    <t>Premiumförderung / Frostschutz-beregnung, Hagelschutz und Starkregen</t>
  </si>
  <si>
    <t>verbrauchter Zuschuss ab 2023</t>
  </si>
  <si>
    <t>nichtproduktive Maßnahmen zur Emissionsmin-derung gemäß Anlage 2 Nr. 1.1 und Nr. 3</t>
  </si>
  <si>
    <t>Bewässerungs-anlagen und Kombination Basisförderung mit Maßnahmen zur Emissionsmin-derung in Stallbau-ten gem. Anlage 2 Nr. 1.2 bis Nr. 1.6</t>
  </si>
  <si>
    <t>2. Berechnung Betreuergebühren nach Nr. 5.2.8</t>
  </si>
  <si>
    <t>3. Berechnung Junglandwirtzuschuss nach Nr. 5.2.7</t>
  </si>
  <si>
    <t>Prüfung Obergrenze gemäß Nr. 5.2.11 der Richtlinie</t>
  </si>
  <si>
    <t>Investitionen nach Nr. 5.2.1 40%</t>
  </si>
  <si>
    <t>Investitionen nach Nr. 5.2.2 40 %</t>
  </si>
  <si>
    <t xml:space="preserve">Investiitonen nach Nr. 5.2.6 65 % </t>
  </si>
  <si>
    <t>Investitionen nach Nr. 5.2.3 und Nr. 5.2.5.b bis zum 31.12.2025          30 %</t>
  </si>
  <si>
    <t xml:space="preserve"> Investitionen nach Nr. 5.2.4 Basisförderung / allgemeine Förderung       20 %</t>
  </si>
  <si>
    <t>Maschinen der Innenwirt- schaft nach Nr. 5.3 b</t>
  </si>
  <si>
    <t xml:space="preserve">zuwendungsfähige Ausgaben (netto) nach Nr. 5.2 ohne Betreuung sowie allg. Aufwendungen für Beratung bei nicht betreuungspflichtigen Maßnahmen </t>
  </si>
  <si>
    <t>AFP- Berechnungsbogen nach Verwendungsnachweisprüfung gemäß der AFP-RL M-V (ab 01.01.2023)</t>
  </si>
  <si>
    <t>Datum</t>
  </si>
  <si>
    <t>Bewä.u. Kombination Basisförderung mit Maßnahmen zur Emissionsminderung in Stallbauten gem. Anlage 2 Nr. 1.2 bis Nr. 1.6</t>
  </si>
  <si>
    <t>Investitionen nach Nr. 5.2.4 Basisförderung / allg.Förderung       20 %</t>
  </si>
  <si>
    <t>Investitionen nach Nr. 5.2.4 Basisförderung / allg. Förderung       20 %</t>
  </si>
  <si>
    <t>Maschinen der Innenwirtschaft nach Nr. 5.3 b</t>
  </si>
  <si>
    <r>
      <t xml:space="preserve">Nr. 5.2.1 40%
</t>
    </r>
    <r>
      <rPr>
        <sz val="8"/>
        <rFont val="Arial"/>
        <family val="2"/>
      </rPr>
      <t>SIUK Anl. 2 Nr. 2 u. 4</t>
    </r>
  </si>
  <si>
    <r>
      <t xml:space="preserve">Nr. 5.2.1 40%
</t>
    </r>
    <r>
      <rPr>
        <sz val="8"/>
        <rFont val="Arial"/>
        <family val="2"/>
      </rPr>
      <t>Premiumförderung</t>
    </r>
  </si>
  <si>
    <t xml:space="preserve">Nr. 5.2.6 65 % </t>
  </si>
  <si>
    <t>Nr. 5.2.3 und Nr. 5.2.5.b  30 %</t>
  </si>
  <si>
    <t>Investitionen nach Nr. 5.2.10 bis zum 31.12.2025     30 %</t>
  </si>
  <si>
    <r>
      <t xml:space="preserve">Nr. 5.2.4  20 %
</t>
    </r>
    <r>
      <rPr>
        <sz val="8"/>
        <rFont val="Arial"/>
        <family val="2"/>
      </rPr>
      <t xml:space="preserve">bauliche Investitionen und  Melksysteme </t>
    </r>
  </si>
  <si>
    <t>Nr. 5.2.10  30 %</t>
  </si>
  <si>
    <t>Architekten- und Ingenieurleistungen</t>
  </si>
  <si>
    <t>prozentualer Anteil an der Gesamtinvestition ohne Maschinen</t>
  </si>
  <si>
    <t>Zwischensumme A.u.I.-Leistungen</t>
  </si>
  <si>
    <t>Gesamtsumme</t>
  </si>
  <si>
    <t>Zuschussarten</t>
  </si>
  <si>
    <t>StALU WM</t>
  </si>
  <si>
    <t xml:space="preserve">Investitionen nach Nr. 5.2.5 a 50% </t>
  </si>
  <si>
    <t xml:space="preserve">Nr. 5.2.5 a 50% </t>
  </si>
  <si>
    <r>
      <rPr>
        <sz val="10"/>
        <rFont val="Arial"/>
        <family val="2"/>
      </rPr>
      <t>Nr. 5.2.4 20 %</t>
    </r>
    <r>
      <rPr>
        <sz val="8"/>
        <rFont val="Arial"/>
        <family val="2"/>
      </rPr>
      <t xml:space="preserve">
Maschinen der Innenwirtschaft</t>
    </r>
  </si>
  <si>
    <r>
      <t xml:space="preserve">Investitionen nach Nr. 5.2.3 und Nr. 5.2.5 b  30 % </t>
    </r>
    <r>
      <rPr>
        <sz val="8"/>
        <rFont val="Arial"/>
        <family val="2"/>
      </rPr>
      <t xml:space="preserve">
bis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zum 31.12.2025</t>
    </r>
    <r>
      <rPr>
        <sz val="10"/>
        <rFont val="Arial"/>
        <family val="2"/>
      </rPr>
      <t xml:space="preserve">         </t>
    </r>
  </si>
  <si>
    <r>
      <t>Investitionen nach Nr. 5.2.10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30 %</t>
    </r>
    <r>
      <rPr>
        <sz val="8"/>
        <rFont val="Arial"/>
        <family val="2"/>
      </rPr>
      <t xml:space="preserve"> 
bis zum 31.12.2025</t>
    </r>
    <r>
      <rPr>
        <sz val="10"/>
        <rFont val="Arial"/>
        <family val="2"/>
      </rPr>
      <t xml:space="preserve">    </t>
    </r>
  </si>
  <si>
    <t>Zuwendungsempfänger:</t>
  </si>
  <si>
    <t xml:space="preserve">                        Az:</t>
  </si>
  <si>
    <t>zuwendungs- fähige Ausgaben ohne A.u.I.-Leistungen</t>
  </si>
  <si>
    <r>
      <rPr>
        <sz val="10"/>
        <rFont val="Arial"/>
        <family val="2"/>
      </rPr>
      <t xml:space="preserve">Summe der zuwendungs- fähigenAusgaben aus der "Prüfung Rechnungsblatt AS…" Datei </t>
    </r>
    <r>
      <rPr>
        <b/>
        <sz val="10"/>
        <color rgb="FFFF0000"/>
        <rFont val="Arial"/>
        <family val="2"/>
      </rPr>
      <t>ohne</t>
    </r>
    <r>
      <rPr>
        <sz val="10"/>
        <rFont val="Arial"/>
        <family val="2"/>
      </rPr>
      <t xml:space="preserve"> A.u.I.-Leistungen</t>
    </r>
  </si>
  <si>
    <t>Ermittlung der zuwendungsfähigen Ausgaben nach VN-Prüfung gemäß den einzelnen Zuschussarten und Aufteilung der zuwendungsfähigen Architekten- und Ingenieurleistungen (A.u.I.-Leistungen)</t>
  </si>
  <si>
    <t>Hinweis: Die Aufteilung der Architekten- und Ingenieurkosten bzw. Nebenkosten ist auch manuell möglich, in dem die Ausgaben in den blauen Felder überschrieben werden.
              Bei der korrekten manuellen Aufteilung (Zelle D25 = Summe der Zellen E25 bis K25) wird ein "Richtig" im folgenden Kontrollfeld angezeigt:</t>
  </si>
  <si>
    <t xml:space="preserve">Investitionen nach Nr. 5.2.5a 50% und 5.2.11 (bis 31.12.2027) </t>
  </si>
  <si>
    <t>Vorförderung Junglandwirt ab 2023</t>
  </si>
  <si>
    <t>10 % des zuwend. Invest. Vol.</t>
  </si>
  <si>
    <t>Minimum</t>
  </si>
  <si>
    <t xml:space="preserve"> StALU WM Stand: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</si>
</sst>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name val="Arial"/>
      <family val="2"/>
    </font>
    <font>
      <sz val="9"/>
      <color indexed="81"/>
      <name val="Segoe UI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 tint="0.499984740745262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0" xfId="0" applyProtection="1"/>
    <xf numFmtId="0" fontId="5" fillId="0" borderId="0" xfId="0" applyFont="1" applyProtection="1"/>
    <xf numFmtId="3" fontId="0" fillId="0" borderId="0" xfId="0" applyNumberFormat="1" applyProtection="1"/>
    <xf numFmtId="0" fontId="0" fillId="3" borderId="3" xfId="0" applyFill="1" applyBorder="1" applyProtection="1"/>
    <xf numFmtId="0" fontId="2" fillId="3" borderId="4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9" fontId="7" fillId="5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Border="1" applyProtection="1"/>
    <xf numFmtId="49" fontId="7" fillId="0" borderId="1" xfId="0" applyNumberFormat="1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49" fontId="7" fillId="0" borderId="2" xfId="0" applyNumberFormat="1" applyFont="1" applyFill="1" applyBorder="1" applyProtection="1"/>
    <xf numFmtId="49" fontId="8" fillId="0" borderId="1" xfId="0" applyNumberFormat="1" applyFont="1" applyBorder="1" applyProtection="1"/>
    <xf numFmtId="49" fontId="8" fillId="0" borderId="1" xfId="0" applyNumberFormat="1" applyFont="1" applyFill="1" applyBorder="1" applyProtection="1"/>
    <xf numFmtId="0" fontId="8" fillId="0" borderId="1" xfId="0" applyFont="1" applyBorder="1" applyAlignment="1" applyProtection="1">
      <alignment horizontal="left"/>
    </xf>
    <xf numFmtId="49" fontId="7" fillId="6" borderId="2" xfId="0" applyNumberFormat="1" applyFont="1" applyFill="1" applyBorder="1" applyAlignment="1" applyProtection="1">
      <alignment vertical="center" wrapText="1"/>
    </xf>
    <xf numFmtId="49" fontId="7" fillId="6" borderId="1" xfId="0" applyNumberFormat="1" applyFont="1" applyFill="1" applyBorder="1" applyProtection="1"/>
    <xf numFmtId="49" fontId="6" fillId="6" borderId="1" xfId="0" applyNumberFormat="1" applyFont="1" applyFill="1" applyBorder="1" applyProtection="1"/>
    <xf numFmtId="49" fontId="7" fillId="6" borderId="1" xfId="0" applyNumberFormat="1" applyFont="1" applyFill="1" applyBorder="1" applyAlignment="1" applyProtection="1">
      <alignment vertical="center" wrapText="1"/>
    </xf>
    <xf numFmtId="49" fontId="8" fillId="6" borderId="1" xfId="0" applyNumberFormat="1" applyFont="1" applyFill="1" applyBorder="1" applyProtection="1"/>
    <xf numFmtId="0" fontId="8" fillId="6" borderId="1" xfId="0" applyFont="1" applyFill="1" applyBorder="1" applyAlignment="1" applyProtection="1">
      <alignment horizontal="left"/>
    </xf>
    <xf numFmtId="49" fontId="7" fillId="0" borderId="19" xfId="0" applyNumberFormat="1" applyFont="1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27" xfId="0" applyBorder="1" applyProtection="1"/>
    <xf numFmtId="0" fontId="1" fillId="0" borderId="0" xfId="0" applyFont="1" applyProtection="1"/>
    <xf numFmtId="49" fontId="7" fillId="5" borderId="2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/>
    </xf>
    <xf numFmtId="0" fontId="6" fillId="4" borderId="5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49" fontId="8" fillId="6" borderId="1" xfId="0" applyNumberFormat="1" applyFont="1" applyFill="1" applyBorder="1" applyAlignment="1" applyProtection="1">
      <alignment vertical="center"/>
    </xf>
    <xf numFmtId="49" fontId="7" fillId="5" borderId="1" xfId="0" applyNumberFormat="1" applyFont="1" applyFill="1" applyBorder="1" applyAlignment="1" applyProtection="1">
      <alignment wrapText="1"/>
    </xf>
    <xf numFmtId="49" fontId="7" fillId="6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vertical="center"/>
    </xf>
    <xf numFmtId="0" fontId="7" fillId="0" borderId="0" xfId="0" applyFont="1" applyProtection="1"/>
    <xf numFmtId="3" fontId="6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Protection="1"/>
    <xf numFmtId="0" fontId="7" fillId="0" borderId="0" xfId="0" applyFont="1" applyFill="1" applyProtection="1"/>
    <xf numFmtId="49" fontId="7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right"/>
    </xf>
    <xf numFmtId="0" fontId="6" fillId="4" borderId="22" xfId="0" applyFont="1" applyFill="1" applyBorder="1" applyAlignment="1" applyProtection="1">
      <alignment textRotation="90"/>
    </xf>
    <xf numFmtId="0" fontId="6" fillId="4" borderId="5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horizontal="center"/>
    </xf>
    <xf numFmtId="0" fontId="7" fillId="6" borderId="18" xfId="0" applyFont="1" applyFill="1" applyBorder="1" applyProtection="1"/>
    <xf numFmtId="0" fontId="6" fillId="0" borderId="17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/>
    <xf numFmtId="0" fontId="7" fillId="6" borderId="17" xfId="0" applyFont="1" applyFill="1" applyBorder="1" applyAlignment="1" applyProtection="1"/>
    <xf numFmtId="0" fontId="7" fillId="6" borderId="25" xfId="0" applyFont="1" applyFill="1" applyBorder="1" applyProtection="1"/>
    <xf numFmtId="0" fontId="6" fillId="4" borderId="26" xfId="0" applyFont="1" applyFill="1" applyBorder="1" applyAlignment="1" applyProtection="1">
      <alignment horizontal="center" vertical="top"/>
    </xf>
    <xf numFmtId="0" fontId="6" fillId="0" borderId="27" xfId="0" applyFont="1" applyFill="1" applyBorder="1" applyAlignment="1" applyProtection="1">
      <alignment horizontal="center"/>
    </xf>
    <xf numFmtId="0" fontId="7" fillId="6" borderId="15" xfId="0" applyFont="1" applyFill="1" applyBorder="1" applyAlignment="1" applyProtection="1"/>
    <xf numFmtId="0" fontId="7" fillId="6" borderId="27" xfId="0" applyFont="1" applyFill="1" applyBorder="1" applyAlignment="1" applyProtection="1"/>
    <xf numFmtId="0" fontId="7" fillId="4" borderId="7" xfId="0" applyFont="1" applyFill="1" applyBorder="1" applyAlignment="1" applyProtection="1">
      <alignment vertical="center" wrapText="1"/>
    </xf>
    <xf numFmtId="4" fontId="7" fillId="5" borderId="2" xfId="0" applyNumberFormat="1" applyFont="1" applyFill="1" applyBorder="1" applyAlignment="1" applyProtection="1">
      <alignment vertical="center" wrapText="1"/>
      <protection locked="0"/>
    </xf>
    <xf numFmtId="4" fontId="7" fillId="5" borderId="34" xfId="0" applyNumberFormat="1" applyFont="1" applyFill="1" applyBorder="1" applyAlignment="1" applyProtection="1">
      <alignment vertical="center" wrapText="1"/>
      <protection locked="0"/>
    </xf>
    <xf numFmtId="4" fontId="7" fillId="0" borderId="2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4" fontId="7" fillId="5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49" fontId="7" fillId="6" borderId="2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7" fillId="0" borderId="29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Border="1" applyProtection="1"/>
    <xf numFmtId="4" fontId="7" fillId="6" borderId="1" xfId="0" applyNumberFormat="1" applyFont="1" applyFill="1" applyBorder="1" applyAlignment="1" applyProtection="1">
      <alignment horizontal="right" wrapText="1"/>
    </xf>
    <xf numFmtId="4" fontId="7" fillId="5" borderId="1" xfId="0" applyNumberFormat="1" applyFont="1" applyFill="1" applyBorder="1" applyAlignment="1" applyProtection="1">
      <alignment vertical="center" wrapText="1"/>
      <protection locked="0"/>
    </xf>
    <xf numFmtId="4" fontId="7" fillId="0" borderId="29" xfId="0" applyNumberFormat="1" applyFont="1" applyFill="1" applyBorder="1" applyAlignment="1" applyProtection="1">
      <alignment horizontal="right" vertical="center" wrapText="1"/>
    </xf>
    <xf numFmtId="4" fontId="7" fillId="6" borderId="1" xfId="0" applyNumberFormat="1" applyFont="1" applyFill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4" fontId="7" fillId="0" borderId="17" xfId="0" applyNumberFormat="1" applyFont="1" applyBorder="1" applyAlignment="1" applyProtection="1">
      <alignment horizontal="right"/>
    </xf>
    <xf numFmtId="4" fontId="7" fillId="6" borderId="1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Border="1" applyProtection="1"/>
    <xf numFmtId="4" fontId="7" fillId="0" borderId="1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 wrapText="1"/>
    </xf>
    <xf numFmtId="3" fontId="7" fillId="0" borderId="0" xfId="0" applyNumberFormat="1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4" fontId="7" fillId="0" borderId="16" xfId="0" applyNumberFormat="1" applyFont="1" applyBorder="1" applyProtection="1"/>
    <xf numFmtId="4" fontId="8" fillId="0" borderId="1" xfId="0" applyNumberFormat="1" applyFont="1" applyBorder="1" applyProtection="1"/>
    <xf numFmtId="4" fontId="8" fillId="0" borderId="1" xfId="0" applyNumberFormat="1" applyFont="1" applyFill="1" applyBorder="1" applyProtection="1"/>
    <xf numFmtId="0" fontId="7" fillId="0" borderId="21" xfId="0" applyFont="1" applyBorder="1" applyAlignment="1" applyProtection="1"/>
    <xf numFmtId="4" fontId="7" fillId="0" borderId="31" xfId="0" applyNumberFormat="1" applyFont="1" applyBorder="1" applyAlignment="1" applyProtection="1">
      <alignment horizontal="center"/>
    </xf>
    <xf numFmtId="3" fontId="6" fillId="0" borderId="12" xfId="0" applyNumberFormat="1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/>
    <xf numFmtId="4" fontId="9" fillId="0" borderId="13" xfId="0" applyNumberFormat="1" applyFont="1" applyBorder="1" applyAlignment="1" applyProtection="1">
      <alignment horizontal="center"/>
    </xf>
    <xf numFmtId="4" fontId="6" fillId="7" borderId="2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4" fontId="6" fillId="0" borderId="1" xfId="0" applyNumberFormat="1" applyFont="1" applyBorder="1" applyAlignment="1" applyProtection="1">
      <alignment horizontal="right"/>
    </xf>
    <xf numFmtId="4" fontId="6" fillId="0" borderId="19" xfId="0" applyNumberFormat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6" xfId="0" applyFont="1" applyBorder="1" applyProtection="1"/>
    <xf numFmtId="4" fontId="6" fillId="0" borderId="26" xfId="0" applyNumberFormat="1" applyFont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vertical="center" wrapText="1"/>
    </xf>
    <xf numFmtId="0" fontId="0" fillId="0" borderId="17" xfId="0" applyBorder="1" applyProtection="1"/>
    <xf numFmtId="49" fontId="6" fillId="0" borderId="1" xfId="0" applyNumberFormat="1" applyFont="1" applyBorder="1" applyAlignment="1" applyProtection="1">
      <alignment wrapText="1"/>
    </xf>
    <xf numFmtId="0" fontId="7" fillId="0" borderId="3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vertical="center"/>
    </xf>
    <xf numFmtId="3" fontId="7" fillId="5" borderId="29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>
      <alignment vertical="center"/>
    </xf>
    <xf numFmtId="14" fontId="7" fillId="6" borderId="17" xfId="0" applyNumberFormat="1" applyFont="1" applyFill="1" applyBorder="1" applyAlignment="1" applyProtection="1">
      <alignment horizontal="center" vertical="top"/>
    </xf>
    <xf numFmtId="0" fontId="6" fillId="6" borderId="23" xfId="0" applyFont="1" applyFill="1" applyBorder="1" applyAlignment="1" applyProtection="1">
      <alignment vertical="center"/>
    </xf>
    <xf numFmtId="0" fontId="6" fillId="6" borderId="28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horizontal="right"/>
    </xf>
    <xf numFmtId="0" fontId="16" fillId="0" borderId="17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vertical="center"/>
    </xf>
    <xf numFmtId="49" fontId="7" fillId="6" borderId="1" xfId="0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4" fontId="7" fillId="0" borderId="16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49" fontId="7" fillId="2" borderId="0" xfId="0" applyNumberFormat="1" applyFont="1" applyFill="1" applyBorder="1" applyAlignment="1" applyProtection="1"/>
    <xf numFmtId="49" fontId="7" fillId="2" borderId="17" xfId="0" applyNumberFormat="1" applyFont="1" applyFill="1" applyBorder="1" applyAlignment="1" applyProtection="1"/>
    <xf numFmtId="4" fontId="6" fillId="0" borderId="29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vertical="center" wrapText="1"/>
    </xf>
    <xf numFmtId="4" fontId="7" fillId="0" borderId="29" xfId="0" applyNumberFormat="1" applyFont="1" applyBorder="1" applyAlignment="1" applyProtection="1">
      <alignment horizontal="right" vertical="center"/>
    </xf>
    <xf numFmtId="4" fontId="7" fillId="0" borderId="9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/>
    <xf numFmtId="49" fontId="7" fillId="0" borderId="1" xfId="0" applyNumberFormat="1" applyFont="1" applyBorder="1" applyAlignment="1" applyProtection="1">
      <alignment wrapText="1"/>
    </xf>
    <xf numFmtId="4" fontId="7" fillId="0" borderId="16" xfId="0" applyNumberFormat="1" applyFont="1" applyFill="1" applyBorder="1" applyAlignment="1" applyProtection="1"/>
    <xf numFmtId="0" fontId="7" fillId="4" borderId="9" xfId="0" applyFont="1" applyFill="1" applyBorder="1" applyAlignment="1" applyProtection="1">
      <alignment vertical="center"/>
    </xf>
    <xf numFmtId="4" fontId="7" fillId="6" borderId="9" xfId="0" applyNumberFormat="1" applyFont="1" applyFill="1" applyBorder="1" applyAlignment="1" applyProtection="1">
      <alignment horizontal="right" wrapText="1"/>
    </xf>
    <xf numFmtId="4" fontId="7" fillId="6" borderId="9" xfId="0" applyNumberFormat="1" applyFont="1" applyFill="1" applyBorder="1" applyAlignment="1" applyProtection="1">
      <alignment horizontal="right" vertical="center"/>
    </xf>
    <xf numFmtId="4" fontId="7" fillId="6" borderId="9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Alignment="1" applyProtection="1">
      <alignment vertical="center"/>
    </xf>
    <xf numFmtId="3" fontId="6" fillId="0" borderId="15" xfId="0" applyNumberFormat="1" applyFont="1" applyFill="1" applyBorder="1" applyAlignment="1" applyProtection="1">
      <alignment horizontal="center"/>
    </xf>
    <xf numFmtId="49" fontId="9" fillId="0" borderId="13" xfId="0" applyNumberFormat="1" applyFont="1" applyFill="1" applyBorder="1" applyAlignment="1" applyProtection="1">
      <alignment horizontal="left" wrapText="1"/>
    </xf>
    <xf numFmtId="4" fontId="7" fillId="8" borderId="1" xfId="0" applyNumberFormat="1" applyFont="1" applyFill="1" applyBorder="1" applyAlignment="1" applyProtection="1">
      <alignment vertical="center"/>
    </xf>
    <xf numFmtId="4" fontId="7" fillId="8" borderId="16" xfId="0" applyNumberFormat="1" applyFont="1" applyFill="1" applyBorder="1" applyProtection="1"/>
    <xf numFmtId="4" fontId="7" fillId="8" borderId="16" xfId="0" applyNumberFormat="1" applyFont="1" applyFill="1" applyBorder="1" applyAlignment="1" applyProtection="1">
      <alignment vertical="center"/>
    </xf>
    <xf numFmtId="4" fontId="7" fillId="8" borderId="1" xfId="0" applyNumberFormat="1" applyFont="1" applyFill="1" applyBorder="1" applyProtection="1"/>
    <xf numFmtId="4" fontId="7" fillId="8" borderId="8" xfId="0" applyNumberFormat="1" applyFont="1" applyFill="1" applyBorder="1" applyProtection="1"/>
    <xf numFmtId="4" fontId="7" fillId="8" borderId="1" xfId="0" applyNumberFormat="1" applyFont="1" applyFill="1" applyBorder="1" applyAlignment="1" applyProtection="1"/>
    <xf numFmtId="4" fontId="7" fillId="8" borderId="16" xfId="0" applyNumberFormat="1" applyFont="1" applyFill="1" applyBorder="1" applyAlignment="1" applyProtection="1"/>
    <xf numFmtId="4" fontId="7" fillId="8" borderId="10" xfId="0" applyNumberFormat="1" applyFont="1" applyFill="1" applyBorder="1" applyProtection="1"/>
    <xf numFmtId="4" fontId="7" fillId="8" borderId="11" xfId="0" applyNumberFormat="1" applyFont="1" applyFill="1" applyBorder="1" applyProtection="1"/>
    <xf numFmtId="4" fontId="7" fillId="8" borderId="9" xfId="0" applyNumberFormat="1" applyFont="1" applyFill="1" applyBorder="1" applyProtection="1"/>
    <xf numFmtId="4" fontId="7" fillId="8" borderId="9" xfId="0" applyNumberFormat="1" applyFont="1" applyFill="1" applyBorder="1" applyAlignment="1" applyProtection="1">
      <alignment horizontal="center"/>
    </xf>
    <xf numFmtId="4" fontId="7" fillId="8" borderId="20" xfId="0" applyNumberFormat="1" applyFont="1" applyFill="1" applyBorder="1" applyProtection="1"/>
    <xf numFmtId="4" fontId="7" fillId="8" borderId="21" xfId="0" applyNumberFormat="1" applyFont="1" applyFill="1" applyBorder="1" applyProtection="1"/>
    <xf numFmtId="4" fontId="7" fillId="8" borderId="21" xfId="0" applyNumberFormat="1" applyFont="1" applyFill="1" applyBorder="1" applyAlignment="1" applyProtection="1">
      <alignment horizontal="center"/>
    </xf>
    <xf numFmtId="4" fontId="7" fillId="8" borderId="14" xfId="0" applyNumberFormat="1" applyFont="1" applyFill="1" applyBorder="1" applyProtection="1"/>
    <xf numFmtId="4" fontId="7" fillId="8" borderId="15" xfId="0" applyNumberFormat="1" applyFont="1" applyFill="1" applyBorder="1" applyProtection="1"/>
    <xf numFmtId="49" fontId="7" fillId="8" borderId="10" xfId="0" applyNumberFormat="1" applyFont="1" applyFill="1" applyBorder="1" applyProtection="1"/>
    <xf numFmtId="0" fontId="7" fillId="8" borderId="8" xfId="0" applyFont="1" applyFill="1" applyBorder="1" applyAlignment="1" applyProtection="1">
      <alignment horizontal="left"/>
    </xf>
    <xf numFmtId="49" fontId="7" fillId="8" borderId="8" xfId="0" applyNumberFormat="1" applyFont="1" applyFill="1" applyBorder="1" applyProtection="1"/>
    <xf numFmtId="49" fontId="7" fillId="8" borderId="20" xfId="0" applyNumberFormat="1" applyFont="1" applyFill="1" applyBorder="1" applyProtection="1"/>
    <xf numFmtId="0" fontId="6" fillId="8" borderId="14" xfId="0" applyFont="1" applyFill="1" applyBorder="1" applyProtection="1"/>
    <xf numFmtId="49" fontId="9" fillId="8" borderId="12" xfId="0" applyNumberFormat="1" applyFont="1" applyFill="1" applyBorder="1" applyProtection="1"/>
    <xf numFmtId="3" fontId="5" fillId="4" borderId="19" xfId="0" applyNumberFormat="1" applyFont="1" applyFill="1" applyBorder="1" applyAlignment="1" applyProtection="1">
      <alignment vertical="top" wrapText="1"/>
    </xf>
    <xf numFmtId="3" fontId="5" fillId="4" borderId="26" xfId="0" applyNumberFormat="1" applyFont="1" applyFill="1" applyBorder="1" applyAlignment="1" applyProtection="1">
      <alignment vertical="center" wrapText="1"/>
    </xf>
    <xf numFmtId="0" fontId="6" fillId="4" borderId="19" xfId="0" applyFont="1" applyFill="1" applyBorder="1" applyAlignment="1" applyProtection="1">
      <alignment horizontal="center" vertical="top"/>
    </xf>
    <xf numFmtId="4" fontId="7" fillId="5" borderId="33" xfId="0" applyNumberFormat="1" applyFont="1" applyFill="1" applyBorder="1" applyAlignment="1" applyProtection="1">
      <alignment vertical="center" wrapText="1"/>
      <protection locked="0"/>
    </xf>
    <xf numFmtId="4" fontId="7" fillId="5" borderId="35" xfId="0" applyNumberFormat="1" applyFont="1" applyFill="1" applyBorder="1" applyAlignment="1" applyProtection="1">
      <alignment vertical="center" wrapText="1"/>
      <protection locked="0"/>
    </xf>
    <xf numFmtId="4" fontId="6" fillId="0" borderId="9" xfId="0" applyNumberFormat="1" applyFont="1" applyBorder="1" applyAlignment="1" applyProtection="1">
      <alignment vertical="center"/>
    </xf>
    <xf numFmtId="4" fontId="7" fillId="8" borderId="9" xfId="0" applyNumberFormat="1" applyFont="1" applyFill="1" applyBorder="1" applyAlignment="1" applyProtection="1">
      <alignment vertical="center"/>
    </xf>
    <xf numFmtId="4" fontId="7" fillId="8" borderId="9" xfId="0" applyNumberFormat="1" applyFont="1" applyFill="1" applyBorder="1" applyAlignment="1" applyProtection="1"/>
    <xf numFmtId="4" fontId="7" fillId="0" borderId="1" xfId="0" applyNumberFormat="1" applyFont="1" applyFill="1" applyBorder="1" applyAlignment="1" applyProtection="1"/>
    <xf numFmtId="4" fontId="7" fillId="0" borderId="1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4" fontId="7" fillId="0" borderId="9" xfId="0" applyNumberFormat="1" applyFont="1" applyFill="1" applyBorder="1" applyAlignment="1" applyProtection="1">
      <alignment horizontal="right"/>
    </xf>
    <xf numFmtId="4" fontId="7" fillId="0" borderId="1" xfId="0" applyNumberFormat="1" applyFont="1" applyFill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29" xfId="0" applyNumberFormat="1" applyFont="1" applyFill="1" applyBorder="1" applyAlignment="1" applyProtection="1">
      <alignment horizontal="right" vertical="center"/>
    </xf>
    <xf numFmtId="3" fontId="6" fillId="4" borderId="33" xfId="0" applyNumberFormat="1" applyFont="1" applyFill="1" applyBorder="1" applyAlignment="1" applyProtection="1">
      <alignment horizontal="left" vertical="top" wrapText="1"/>
    </xf>
    <xf numFmtId="3" fontId="6" fillId="4" borderId="33" xfId="0" applyNumberFormat="1" applyFont="1" applyFill="1" applyBorder="1" applyAlignment="1" applyProtection="1">
      <alignment vertical="top" wrapText="1"/>
    </xf>
    <xf numFmtId="0" fontId="17" fillId="0" borderId="0" xfId="0" applyFont="1" applyProtection="1"/>
    <xf numFmtId="3" fontId="17" fillId="0" borderId="0" xfId="0" applyNumberFormat="1" applyFont="1" applyProtection="1"/>
    <xf numFmtId="4" fontId="0" fillId="0" borderId="0" xfId="0" applyNumberFormat="1"/>
    <xf numFmtId="0" fontId="0" fillId="0" borderId="0" xfId="0" applyAlignment="1">
      <alignment vertical="center" wrapText="1"/>
    </xf>
    <xf numFmtId="164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4" fontId="17" fillId="0" borderId="16" xfId="0" applyNumberFormat="1" applyFont="1" applyBorder="1" applyAlignment="1" applyProtection="1">
      <alignment vertical="top" wrapText="1"/>
      <protection hidden="1"/>
    </xf>
    <xf numFmtId="4" fontId="17" fillId="0" borderId="1" xfId="0" applyNumberFormat="1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3" fontId="5" fillId="0" borderId="16" xfId="0" applyNumberFormat="1" applyFont="1" applyFill="1" applyBorder="1" applyAlignment="1" applyProtection="1">
      <alignment horizontal="left" vertical="top" wrapText="1"/>
      <protection hidden="1"/>
    </xf>
    <xf numFmtId="3" fontId="5" fillId="0" borderId="1" xfId="0" applyNumberFormat="1" applyFont="1" applyFill="1" applyBorder="1" applyAlignment="1" applyProtection="1">
      <alignment horizontal="left" vertical="top" wrapText="1"/>
      <protection hidden="1"/>
    </xf>
    <xf numFmtId="0" fontId="17" fillId="0" borderId="2" xfId="0" applyFont="1" applyBorder="1" applyAlignment="1" applyProtection="1">
      <alignment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7" fillId="0" borderId="1" xfId="0" applyFont="1" applyBorder="1" applyProtection="1">
      <protection hidden="1"/>
    </xf>
    <xf numFmtId="164" fontId="0" fillId="9" borderId="2" xfId="0" applyNumberFormat="1" applyFill="1" applyBorder="1" applyProtection="1">
      <protection locked="0"/>
    </xf>
    <xf numFmtId="164" fontId="0" fillId="9" borderId="1" xfId="0" applyNumberFormat="1" applyFill="1" applyBorder="1" applyProtection="1">
      <protection locked="0"/>
    </xf>
    <xf numFmtId="164" fontId="4" fillId="0" borderId="1" xfId="0" applyNumberFormat="1" applyFont="1" applyBorder="1" applyProtection="1">
      <protection hidden="1"/>
    </xf>
    <xf numFmtId="0" fontId="4" fillId="0" borderId="1" xfId="0" applyFont="1" applyBorder="1" applyAlignment="1">
      <alignment wrapText="1"/>
    </xf>
    <xf numFmtId="0" fontId="4" fillId="0" borderId="39" xfId="0" applyFont="1" applyBorder="1" applyAlignment="1">
      <alignment wrapText="1"/>
    </xf>
    <xf numFmtId="164" fontId="4" fillId="0" borderId="39" xfId="0" applyNumberFormat="1" applyFont="1" applyBorder="1" applyProtection="1">
      <protection hidden="1"/>
    </xf>
    <xf numFmtId="0" fontId="17" fillId="0" borderId="2" xfId="0" applyFont="1" applyBorder="1" applyAlignment="1">
      <alignment vertical="center" wrapText="1"/>
    </xf>
    <xf numFmtId="10" fontId="4" fillId="0" borderId="40" xfId="0" applyNumberFormat="1" applyFont="1" applyBorder="1" applyProtection="1">
      <protection hidden="1"/>
    </xf>
    <xf numFmtId="10" fontId="20" fillId="0" borderId="40" xfId="0" applyNumberFormat="1" applyFont="1" applyBorder="1" applyProtection="1">
      <protection hidden="1"/>
    </xf>
    <xf numFmtId="0" fontId="1" fillId="0" borderId="13" xfId="0" applyFont="1" applyBorder="1"/>
    <xf numFmtId="164" fontId="1" fillId="0" borderId="13" xfId="0" applyNumberFormat="1" applyFont="1" applyBorder="1" applyProtection="1">
      <protection hidden="1"/>
    </xf>
    <xf numFmtId="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left"/>
    </xf>
    <xf numFmtId="4" fontId="17" fillId="0" borderId="0" xfId="0" applyNumberFormat="1" applyFont="1" applyFill="1"/>
    <xf numFmtId="0" fontId="19" fillId="0" borderId="0" xfId="0" applyFont="1" applyProtection="1">
      <protection hidden="1"/>
    </xf>
    <xf numFmtId="164" fontId="0" fillId="10" borderId="1" xfId="0" applyNumberFormat="1" applyFill="1" applyBorder="1" applyProtection="1">
      <protection hidden="1"/>
    </xf>
    <xf numFmtId="0" fontId="17" fillId="0" borderId="19" xfId="0" applyFont="1" applyBorder="1" applyAlignment="1" applyProtection="1">
      <alignment horizontal="left" vertical="top"/>
      <protection hidden="1"/>
    </xf>
    <xf numFmtId="0" fontId="17" fillId="0" borderId="0" xfId="0" applyFont="1" applyProtection="1">
      <protection hidden="1"/>
    </xf>
    <xf numFmtId="0" fontId="17" fillId="9" borderId="1" xfId="0" applyFont="1" applyFill="1" applyBorder="1" applyProtection="1">
      <protection locked="0"/>
    </xf>
    <xf numFmtId="164" fontId="0" fillId="9" borderId="2" xfId="0" applyNumberFormat="1" applyFill="1" applyBorder="1" applyAlignment="1" applyProtection="1">
      <alignment vertical="center" wrapText="1"/>
      <protection locked="0"/>
    </xf>
    <xf numFmtId="164" fontId="0" fillId="10" borderId="1" xfId="0" applyNumberFormat="1" applyFill="1" applyBorder="1" applyProtection="1"/>
    <xf numFmtId="164" fontId="21" fillId="10" borderId="2" xfId="0" applyNumberFormat="1" applyFont="1" applyFill="1" applyBorder="1" applyAlignment="1" applyProtection="1">
      <alignment vertical="center" wrapText="1"/>
      <protection hidden="1"/>
    </xf>
    <xf numFmtId="164" fontId="21" fillId="10" borderId="1" xfId="0" applyNumberFormat="1" applyFont="1" applyFill="1" applyBorder="1" applyAlignment="1" applyProtection="1">
      <alignment vertical="center" wrapText="1"/>
      <protection hidden="1"/>
    </xf>
    <xf numFmtId="164" fontId="22" fillId="10" borderId="1" xfId="0" applyNumberFormat="1" applyFont="1" applyFill="1" applyBorder="1" applyProtection="1">
      <protection hidden="1"/>
    </xf>
    <xf numFmtId="164" fontId="0" fillId="11" borderId="2" xfId="0" applyNumberFormat="1" applyFill="1" applyBorder="1" applyAlignment="1" applyProtection="1">
      <alignment vertical="center" wrapText="1"/>
      <protection locked="0"/>
    </xf>
    <xf numFmtId="164" fontId="0" fillId="11" borderId="1" xfId="0" applyNumberFormat="1" applyFill="1" applyBorder="1" applyAlignment="1" applyProtection="1">
      <alignment vertical="center" wrapText="1"/>
      <protection locked="0"/>
    </xf>
    <xf numFmtId="10" fontId="23" fillId="0" borderId="0" xfId="0" applyNumberFormat="1" applyFont="1"/>
    <xf numFmtId="0" fontId="23" fillId="0" borderId="0" xfId="0" applyFont="1"/>
    <xf numFmtId="0" fontId="19" fillId="0" borderId="0" xfId="0" applyFont="1"/>
    <xf numFmtId="0" fontId="7" fillId="0" borderId="12" xfId="0" applyFont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30" xfId="0" applyFont="1" applyFill="1" applyBorder="1" applyAlignment="1" applyProtection="1">
      <alignment horizontal="left" vertical="center"/>
    </xf>
    <xf numFmtId="0" fontId="6" fillId="8" borderId="8" xfId="0" applyFont="1" applyFill="1" applyBorder="1" applyAlignment="1" applyProtection="1">
      <alignment horizontal="left" vertical="center"/>
    </xf>
    <xf numFmtId="0" fontId="6" fillId="8" borderId="9" xfId="0" applyFont="1" applyFill="1" applyBorder="1" applyAlignment="1" applyProtection="1">
      <alignment horizontal="left" vertical="center"/>
    </xf>
    <xf numFmtId="0" fontId="6" fillId="8" borderId="30" xfId="0" applyFont="1" applyFill="1" applyBorder="1" applyAlignment="1" applyProtection="1">
      <alignment horizontal="left" vertical="center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wrapText="1"/>
      <protection locked="0"/>
    </xf>
    <xf numFmtId="4" fontId="6" fillId="5" borderId="29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 applyProtection="1">
      <alignment horizontal="right" wrapText="1"/>
    </xf>
    <xf numFmtId="4" fontId="6" fillId="0" borderId="29" xfId="0" applyNumberFormat="1" applyFont="1" applyFill="1" applyBorder="1" applyAlignment="1" applyProtection="1">
      <alignment horizontal="right" wrapText="1"/>
    </xf>
    <xf numFmtId="4" fontId="6" fillId="0" borderId="1" xfId="0" applyNumberFormat="1" applyFont="1" applyBorder="1" applyAlignment="1" applyProtection="1">
      <alignment horizontal="right" vertical="center"/>
    </xf>
    <xf numFmtId="4" fontId="6" fillId="0" borderId="29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/>
    </xf>
    <xf numFmtId="0" fontId="7" fillId="0" borderId="16" xfId="0" applyFont="1" applyBorder="1" applyAlignment="1" applyProtection="1"/>
    <xf numFmtId="3" fontId="6" fillId="0" borderId="19" xfId="0" applyNumberFormat="1" applyFont="1" applyBorder="1" applyAlignment="1" applyProtection="1">
      <alignment horizontal="left" wrapText="1"/>
    </xf>
    <xf numFmtId="3" fontId="6" fillId="0" borderId="2" xfId="0" applyNumberFormat="1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6" fillId="0" borderId="36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 wrapText="1"/>
    </xf>
    <xf numFmtId="49" fontId="7" fillId="5" borderId="8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horizontal="center" wrapText="1"/>
    </xf>
    <xf numFmtId="4" fontId="7" fillId="0" borderId="16" xfId="0" applyNumberFormat="1" applyFont="1" applyFill="1" applyBorder="1" applyAlignment="1" applyProtection="1">
      <alignment horizontal="center" wrapText="1"/>
    </xf>
    <xf numFmtId="4" fontId="7" fillId="2" borderId="9" xfId="0" applyNumberFormat="1" applyFont="1" applyFill="1" applyBorder="1" applyAlignment="1" applyProtection="1">
      <alignment horizontal="center" vertical="center"/>
      <protection locked="0"/>
    </xf>
    <xf numFmtId="4" fontId="7" fillId="2" borderId="16" xfId="0" applyNumberFormat="1" applyFont="1" applyFill="1" applyBorder="1" applyAlignment="1" applyProtection="1">
      <alignment horizontal="center" vertical="center"/>
      <protection locked="0"/>
    </xf>
    <xf numFmtId="4" fontId="7" fillId="0" borderId="9" xfId="0" applyNumberFormat="1" applyFont="1" applyFill="1" applyBorder="1" applyAlignment="1" applyProtection="1">
      <alignment horizontal="center"/>
    </xf>
    <xf numFmtId="4" fontId="7" fillId="0" borderId="16" xfId="0" applyNumberFormat="1" applyFont="1" applyFill="1" applyBorder="1" applyAlignment="1" applyProtection="1">
      <alignment horizontal="center"/>
    </xf>
    <xf numFmtId="4" fontId="7" fillId="0" borderId="9" xfId="0" applyNumberFormat="1" applyFont="1" applyFill="1" applyBorder="1" applyAlignment="1" applyProtection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9" fontId="7" fillId="5" borderId="0" xfId="0" applyNumberFormat="1" applyFont="1" applyFill="1" applyBorder="1" applyAlignment="1" applyProtection="1">
      <alignment vertical="center" wrapText="1"/>
      <protection locked="0"/>
    </xf>
    <xf numFmtId="3" fontId="6" fillId="4" borderId="33" xfId="0" applyNumberFormat="1" applyFont="1" applyFill="1" applyBorder="1" applyAlignment="1" applyProtection="1">
      <alignment horizontal="left" vertical="top" wrapText="1"/>
    </xf>
    <xf numFmtId="3" fontId="5" fillId="4" borderId="1" xfId="0" applyNumberFormat="1" applyFont="1" applyFill="1" applyBorder="1" applyAlignment="1" applyProtection="1">
      <alignment horizontal="left" vertical="top" wrapText="1"/>
    </xf>
    <xf numFmtId="3" fontId="5" fillId="4" borderId="13" xfId="0" applyNumberFormat="1" applyFont="1" applyFill="1" applyBorder="1" applyAlignment="1" applyProtection="1">
      <alignment horizontal="left" vertical="top" wrapText="1"/>
    </xf>
    <xf numFmtId="3" fontId="5" fillId="4" borderId="37" xfId="0" applyNumberFormat="1" applyFont="1" applyFill="1" applyBorder="1" applyAlignment="1" applyProtection="1">
      <alignment horizontal="left" vertical="top" wrapText="1"/>
    </xf>
    <xf numFmtId="0" fontId="5" fillId="0" borderId="38" xfId="0" applyFont="1" applyBorder="1" applyAlignment="1" applyProtection="1">
      <alignment horizontal="left" wrapText="1"/>
    </xf>
    <xf numFmtId="0" fontId="7" fillId="6" borderId="22" xfId="0" applyFont="1" applyFill="1" applyBorder="1" applyAlignment="1" applyProtection="1">
      <alignment horizontal="right" vertical="top"/>
    </xf>
    <xf numFmtId="0" fontId="7" fillId="6" borderId="24" xfId="0" applyFont="1" applyFill="1" applyBorder="1" applyAlignment="1" applyProtection="1">
      <alignment horizontal="right" vertical="top"/>
    </xf>
    <xf numFmtId="3" fontId="5" fillId="4" borderId="8" xfId="0" applyNumberFormat="1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4" fontId="7" fillId="0" borderId="8" xfId="0" applyNumberFormat="1" applyFont="1" applyFill="1" applyBorder="1" applyAlignment="1" applyProtection="1">
      <alignment horizontal="center"/>
    </xf>
    <xf numFmtId="4" fontId="7" fillId="0" borderId="8" xfId="0" applyNumberFormat="1" applyFont="1" applyBorder="1" applyAlignment="1" applyProtection="1">
      <alignment horizontal="center" vertical="center" wrapText="1"/>
    </xf>
    <xf numFmtId="4" fontId="7" fillId="0" borderId="16" xfId="0" applyNumberFormat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26" xfId="0" applyFont="1" applyFill="1" applyBorder="1" applyAlignment="1" applyProtection="1">
      <alignment horizontal="center" vertical="center"/>
    </xf>
    <xf numFmtId="4" fontId="7" fillId="0" borderId="9" xfId="0" applyNumberFormat="1" applyFont="1" applyBorder="1" applyAlignment="1" applyProtection="1">
      <alignment horizontal="center" vertical="center" wrapText="1"/>
    </xf>
    <xf numFmtId="4" fontId="7" fillId="6" borderId="9" xfId="0" applyNumberFormat="1" applyFont="1" applyFill="1" applyBorder="1" applyAlignment="1" applyProtection="1">
      <alignment horizontal="center"/>
    </xf>
    <xf numFmtId="4" fontId="7" fillId="6" borderId="16" xfId="0" applyNumberFormat="1" applyFont="1" applyFill="1" applyBorder="1" applyAlignment="1" applyProtection="1">
      <alignment horizontal="center"/>
    </xf>
    <xf numFmtId="4" fontId="7" fillId="6" borderId="9" xfId="0" applyNumberFormat="1" applyFont="1" applyFill="1" applyBorder="1" applyAlignment="1" applyProtection="1">
      <alignment horizontal="center" wrapText="1"/>
    </xf>
    <xf numFmtId="4" fontId="7" fillId="6" borderId="16" xfId="0" applyNumberFormat="1" applyFont="1" applyFill="1" applyBorder="1" applyAlignment="1" applyProtection="1">
      <alignment horizontal="center" wrapText="1"/>
    </xf>
    <xf numFmtId="4" fontId="7" fillId="6" borderId="9" xfId="0" applyNumberFormat="1" applyFont="1" applyFill="1" applyBorder="1" applyAlignment="1" applyProtection="1">
      <alignment horizontal="center" vertical="center"/>
    </xf>
    <xf numFmtId="4" fontId="7" fillId="6" borderId="16" xfId="0" applyNumberFormat="1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 applyProtection="1">
      <alignment horizontal="center" vertical="center"/>
    </xf>
    <xf numFmtId="0" fontId="17" fillId="11" borderId="0" xfId="0" applyFont="1" applyFill="1" applyAlignment="1">
      <alignment horizontal="left" vertical="top" wrapText="1"/>
    </xf>
    <xf numFmtId="0" fontId="0" fillId="11" borderId="0" xfId="0" applyFill="1" applyAlignment="1">
      <alignment horizontal="left" vertical="top"/>
    </xf>
    <xf numFmtId="4" fontId="18" fillId="0" borderId="19" xfId="0" applyNumberFormat="1" applyFont="1" applyBorder="1" applyAlignment="1" applyProtection="1">
      <alignment horizontal="left" vertical="top" wrapText="1"/>
      <protection hidden="1"/>
    </xf>
    <xf numFmtId="4" fontId="18" fillId="0" borderId="2" xfId="0" applyNumberFormat="1" applyFont="1" applyBorder="1" applyAlignment="1" applyProtection="1">
      <alignment horizontal="left" vertical="top" wrapText="1"/>
      <protection hidden="1"/>
    </xf>
    <xf numFmtId="0" fontId="17" fillId="0" borderId="40" xfId="0" applyFont="1" applyBorder="1" applyAlignment="1">
      <alignment wrapText="1"/>
    </xf>
    <xf numFmtId="4" fontId="0" fillId="9" borderId="0" xfId="0" applyNumberFormat="1" applyFill="1" applyAlignment="1">
      <alignment horizontal="center"/>
    </xf>
    <xf numFmtId="49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4" fontId="7" fillId="5" borderId="29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vertical="center" wrapText="1"/>
    </xf>
    <xf numFmtId="4" fontId="24" fillId="0" borderId="29" xfId="0" applyNumberFormat="1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BFBF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A4" zoomScale="90" zoomScaleNormal="90" workbookViewId="0">
      <selection activeCell="D4" sqref="D4:L4"/>
    </sheetView>
  </sheetViews>
  <sheetFormatPr baseColWidth="10" defaultColWidth="11.42578125" defaultRowHeight="12.75" x14ac:dyDescent="0.2"/>
  <cols>
    <col min="1" max="1" width="2.85546875" style="1" customWidth="1"/>
    <col min="2" max="2" width="44.140625" style="1" customWidth="1"/>
    <col min="3" max="3" width="1.28515625" style="1" customWidth="1"/>
    <col min="4" max="4" width="14.7109375" style="1" customWidth="1"/>
    <col min="5" max="5" width="12.7109375" style="1" customWidth="1"/>
    <col min="6" max="6" width="13.7109375" style="1" customWidth="1"/>
    <col min="7" max="7" width="13.42578125" style="1" customWidth="1"/>
    <col min="8" max="8" width="15" style="1" customWidth="1"/>
    <col min="9" max="9" width="12.140625" style="1" customWidth="1"/>
    <col min="10" max="10" width="11.140625" style="1" customWidth="1"/>
    <col min="11" max="11" width="10.5703125" style="3" customWidth="1"/>
    <col min="12" max="12" width="13" style="1" customWidth="1"/>
    <col min="13" max="13" width="2.7109375" style="1" customWidth="1"/>
    <col min="14" max="14" width="30.140625" style="1" customWidth="1"/>
    <col min="15" max="15" width="2.42578125" style="1" customWidth="1"/>
    <col min="16" max="16" width="11.42578125" style="1" customWidth="1"/>
    <col min="17" max="17" width="3.42578125" style="1" customWidth="1"/>
    <col min="18" max="18" width="11.7109375" style="1" bestFit="1" customWidth="1"/>
    <col min="19" max="16384" width="11.42578125" style="1"/>
  </cols>
  <sheetData>
    <row r="1" spans="1:18" ht="13.5" thickBot="1" x14ac:dyDescent="0.25">
      <c r="B1" s="43" t="s">
        <v>91</v>
      </c>
      <c r="C1" s="2"/>
    </row>
    <row r="2" spans="1:18" ht="24" customHeight="1" thickBot="1" x14ac:dyDescent="0.25">
      <c r="A2" s="4"/>
      <c r="B2" s="292" t="s">
        <v>57</v>
      </c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5"/>
      <c r="N2" s="276" t="s">
        <v>3</v>
      </c>
      <c r="O2" s="277"/>
      <c r="P2" s="278"/>
      <c r="Q2" s="6"/>
    </row>
    <row r="3" spans="1:18" ht="4.9000000000000004" customHeight="1" x14ac:dyDescent="0.3">
      <c r="A3" s="6"/>
      <c r="B3" s="7"/>
      <c r="C3" s="7"/>
      <c r="D3" s="8"/>
      <c r="E3" s="8"/>
      <c r="F3" s="8"/>
      <c r="G3" s="8"/>
      <c r="H3" s="8"/>
      <c r="I3" s="8"/>
      <c r="J3" s="6"/>
      <c r="K3" s="9"/>
      <c r="L3" s="10"/>
      <c r="M3" s="11"/>
      <c r="N3" s="36"/>
      <c r="O3" s="37"/>
      <c r="P3" s="38"/>
      <c r="Q3" s="6"/>
    </row>
    <row r="4" spans="1:18" s="43" customFormat="1" ht="12.75" customHeight="1" x14ac:dyDescent="0.2">
      <c r="A4" s="46"/>
      <c r="B4" s="33" t="s">
        <v>17</v>
      </c>
      <c r="C4" s="33"/>
      <c r="D4" s="279"/>
      <c r="E4" s="279"/>
      <c r="F4" s="279"/>
      <c r="G4" s="279"/>
      <c r="H4" s="279"/>
      <c r="I4" s="279"/>
      <c r="J4" s="279"/>
      <c r="K4" s="279"/>
      <c r="L4" s="279"/>
      <c r="M4" s="33" t="s">
        <v>12</v>
      </c>
      <c r="N4" s="47" t="s">
        <v>20</v>
      </c>
      <c r="O4" s="130"/>
      <c r="P4" s="131"/>
      <c r="Q4" s="46"/>
    </row>
    <row r="5" spans="1:18" s="43" customFormat="1" ht="4.9000000000000004" customHeight="1" thickBot="1" x14ac:dyDescent="0.25">
      <c r="A5" s="46"/>
      <c r="B5" s="33"/>
      <c r="C5" s="33"/>
      <c r="D5" s="49"/>
      <c r="E5" s="49"/>
      <c r="F5" s="49"/>
      <c r="G5" s="49"/>
      <c r="H5" s="49"/>
      <c r="I5" s="49"/>
      <c r="J5" s="49"/>
      <c r="K5" s="49"/>
      <c r="L5" s="49"/>
      <c r="M5" s="50"/>
      <c r="N5" s="51"/>
      <c r="O5" s="52"/>
      <c r="P5" s="122"/>
      <c r="Q5" s="46"/>
    </row>
    <row r="6" spans="1:18" s="43" customFormat="1" ht="79.5" customHeight="1" x14ac:dyDescent="0.2">
      <c r="A6" s="54" t="s">
        <v>22</v>
      </c>
      <c r="B6" s="34" t="s">
        <v>31</v>
      </c>
      <c r="C6" s="34"/>
      <c r="D6" s="187" t="s">
        <v>50</v>
      </c>
      <c r="E6" s="188" t="s">
        <v>51</v>
      </c>
      <c r="F6" s="187" t="s">
        <v>87</v>
      </c>
      <c r="G6" s="188" t="s">
        <v>52</v>
      </c>
      <c r="H6" s="187" t="s">
        <v>53</v>
      </c>
      <c r="I6" s="187" t="s">
        <v>67</v>
      </c>
      <c r="J6" s="280" t="s">
        <v>54</v>
      </c>
      <c r="K6" s="280"/>
      <c r="L6" s="55" t="s">
        <v>1</v>
      </c>
      <c r="M6" s="56"/>
      <c r="N6" s="285" t="s">
        <v>2</v>
      </c>
      <c r="O6" s="286"/>
      <c r="P6" s="119">
        <f ca="1">NOW()</f>
        <v>45405.362831365739</v>
      </c>
      <c r="Q6" s="46"/>
    </row>
    <row r="7" spans="1:18" s="43" customFormat="1" ht="46.5" customHeight="1" x14ac:dyDescent="0.2">
      <c r="A7" s="57"/>
      <c r="B7" s="294"/>
      <c r="C7" s="296"/>
      <c r="D7" s="281" t="s">
        <v>43</v>
      </c>
      <c r="E7" s="281" t="s">
        <v>29</v>
      </c>
      <c r="F7" s="281" t="s">
        <v>30</v>
      </c>
      <c r="G7" s="281" t="s">
        <v>45</v>
      </c>
      <c r="H7" s="281" t="s">
        <v>46</v>
      </c>
      <c r="I7" s="169" t="s">
        <v>41</v>
      </c>
      <c r="J7" s="281" t="s">
        <v>24</v>
      </c>
      <c r="K7" s="287" t="s">
        <v>55</v>
      </c>
      <c r="L7" s="171"/>
      <c r="M7" s="58"/>
      <c r="N7" s="120"/>
      <c r="O7" s="59"/>
      <c r="P7" s="60"/>
      <c r="Q7" s="46"/>
    </row>
    <row r="8" spans="1:18" s="43" customFormat="1" ht="57.75" customHeight="1" thickBot="1" x14ac:dyDescent="0.25">
      <c r="A8" s="61"/>
      <c r="B8" s="295"/>
      <c r="C8" s="297"/>
      <c r="D8" s="282"/>
      <c r="E8" s="282"/>
      <c r="F8" s="282"/>
      <c r="G8" s="282"/>
      <c r="H8" s="283"/>
      <c r="I8" s="170"/>
      <c r="J8" s="284"/>
      <c r="K8" s="288"/>
      <c r="L8" s="62"/>
      <c r="M8" s="63"/>
      <c r="N8" s="121"/>
      <c r="O8" s="64"/>
      <c r="P8" s="65"/>
      <c r="Q8" s="46"/>
    </row>
    <row r="9" spans="1:18" s="73" customFormat="1" ht="38.25" customHeight="1" x14ac:dyDescent="0.2">
      <c r="A9" s="66">
        <v>1</v>
      </c>
      <c r="B9" s="32" t="s">
        <v>56</v>
      </c>
      <c r="C9" s="21"/>
      <c r="D9" s="172">
        <f>Anlage!E26</f>
        <v>0</v>
      </c>
      <c r="E9" s="172">
        <f>Anlage!F26</f>
        <v>0</v>
      </c>
      <c r="F9" s="173">
        <f>Anlage!G26</f>
        <v>0</v>
      </c>
      <c r="G9" s="172">
        <f>Anlage!H26</f>
        <v>0</v>
      </c>
      <c r="H9" s="68">
        <f>Anlage!I26</f>
        <v>0</v>
      </c>
      <c r="I9" s="172">
        <f>Anlage!J26</f>
        <v>0</v>
      </c>
      <c r="J9" s="68">
        <f>Anlage!K26</f>
        <v>0</v>
      </c>
      <c r="K9" s="67">
        <f>Anlage!L26</f>
        <v>0</v>
      </c>
      <c r="L9" s="69">
        <f>SUM(D9:K9)</f>
        <v>0</v>
      </c>
      <c r="M9" s="70"/>
      <c r="N9" s="267" t="s">
        <v>4</v>
      </c>
      <c r="O9" s="254"/>
      <c r="P9" s="71"/>
      <c r="Q9" s="72"/>
    </row>
    <row r="10" spans="1:18" s="73" customFormat="1" ht="24" x14ac:dyDescent="0.2">
      <c r="A10" s="75">
        <v>2</v>
      </c>
      <c r="B10" s="12" t="s">
        <v>32</v>
      </c>
      <c r="C10" s="76"/>
      <c r="D10" s="74"/>
      <c r="E10" s="74"/>
      <c r="F10" s="140"/>
      <c r="G10" s="74"/>
      <c r="H10" s="140"/>
      <c r="I10" s="74"/>
      <c r="J10" s="270"/>
      <c r="K10" s="271"/>
      <c r="L10" s="77">
        <f>J10</f>
        <v>0</v>
      </c>
      <c r="M10" s="70"/>
      <c r="N10" s="268"/>
      <c r="O10" s="269"/>
      <c r="P10" s="115"/>
      <c r="Q10" s="72"/>
    </row>
    <row r="11" spans="1:18" s="79" customFormat="1" ht="24" x14ac:dyDescent="0.2">
      <c r="A11" s="66">
        <v>3</v>
      </c>
      <c r="B11" s="133" t="s">
        <v>28</v>
      </c>
      <c r="C11" s="23"/>
      <c r="D11" s="305">
        <f>D9+E9</f>
        <v>0</v>
      </c>
      <c r="E11" s="275"/>
      <c r="F11" s="180">
        <f>F9</f>
        <v>0</v>
      </c>
      <c r="G11" s="181">
        <f>G9</f>
        <v>0</v>
      </c>
      <c r="H11" s="136">
        <f>H9</f>
        <v>0</v>
      </c>
      <c r="I11" s="178">
        <f>I9</f>
        <v>0</v>
      </c>
      <c r="J11" s="274">
        <f>J9+K9+J10</f>
        <v>0</v>
      </c>
      <c r="K11" s="275"/>
      <c r="L11" s="77">
        <f>SUM(D11:K11)</f>
        <v>0</v>
      </c>
      <c r="M11" s="78"/>
      <c r="N11" s="239" t="s">
        <v>47</v>
      </c>
      <c r="O11" s="240"/>
      <c r="P11" s="241"/>
    </row>
    <row r="12" spans="1:18" s="79" customFormat="1" ht="24" customHeight="1" x14ac:dyDescent="0.2">
      <c r="A12" s="66">
        <v>4</v>
      </c>
      <c r="B12" s="13" t="s">
        <v>5</v>
      </c>
      <c r="C12" s="22"/>
      <c r="D12" s="289">
        <f>IF(D11=0,0,IF(G11+F11&gt;=2000000,0,IF(G11+F11+D11&gt;2000000,2000000-G11-F11,D11)))</f>
        <v>0</v>
      </c>
      <c r="E12" s="273"/>
      <c r="F12" s="182">
        <f>IF(F11=0,0,IF(G11&gt;=2000000,0,IF(G11+F11&gt;2000000,2000000-G11,F11)))</f>
        <v>0</v>
      </c>
      <c r="G12" s="183">
        <f>IF(G9=0,0,IF(G9&lt;=2000000,G9,IF(G9&gt;2000000,2000000)))</f>
        <v>0</v>
      </c>
      <c r="H12" s="137">
        <f>IF(H11=0,0,IF(G11+F11+D11&gt;=2000000,0,IF(G11+F11+D11+H11&gt;2000000,2000000-G11-F11-D11,H11)))</f>
        <v>0</v>
      </c>
      <c r="I12" s="177">
        <f>IF(I11=0,0,IF(G11+F11+D11+H11&gt;=2000000,0,IF(G11+F11+D11+H11+I11&gt;2000000,2000000-G11-F11-D11-H11,I11)))</f>
        <v>0</v>
      </c>
      <c r="J12" s="272">
        <f>IF(J11=0,0,IF(G11+F11+D11+H11+I11&gt;=2000000,0,IF(G11+F11+D11+H11+I11+J11&gt;2000000,2000000-G11-F11-D11-H11-I11,J11)))</f>
        <v>0</v>
      </c>
      <c r="K12" s="273"/>
      <c r="L12" s="81">
        <f>SUM(D12:K12)</f>
        <v>0</v>
      </c>
      <c r="M12" s="78"/>
      <c r="N12" s="259" t="s">
        <v>33</v>
      </c>
      <c r="O12" s="260"/>
      <c r="P12" s="80">
        <f>L20-K20</f>
        <v>0</v>
      </c>
    </row>
    <row r="13" spans="1:18" s="43" customFormat="1" ht="48" x14ac:dyDescent="0.2">
      <c r="A13" s="75">
        <v>5</v>
      </c>
      <c r="B13" s="40" t="s">
        <v>38</v>
      </c>
      <c r="C13" s="41"/>
      <c r="D13" s="82"/>
      <c r="E13" s="82"/>
      <c r="F13" s="141"/>
      <c r="G13" s="82"/>
      <c r="H13" s="141"/>
      <c r="I13" s="82"/>
      <c r="J13" s="301"/>
      <c r="K13" s="302"/>
      <c r="L13" s="83">
        <v>0</v>
      </c>
      <c r="M13" s="45"/>
      <c r="N13" s="259" t="s">
        <v>34</v>
      </c>
      <c r="O13" s="260"/>
      <c r="P13" s="80">
        <f>L20</f>
        <v>0</v>
      </c>
    </row>
    <row r="14" spans="1:18" s="73" customFormat="1" ht="27.75" customHeight="1" x14ac:dyDescent="0.2">
      <c r="A14" s="66">
        <v>6</v>
      </c>
      <c r="B14" s="124" t="s">
        <v>6</v>
      </c>
      <c r="C14" s="125"/>
      <c r="D14" s="126"/>
      <c r="E14" s="126"/>
      <c r="F14" s="142"/>
      <c r="G14" s="126"/>
      <c r="H14" s="142"/>
      <c r="I14" s="126"/>
      <c r="J14" s="303"/>
      <c r="K14" s="304"/>
      <c r="L14" s="91">
        <f>IF(L12&lt;=0,0,L12+L13)</f>
        <v>0</v>
      </c>
      <c r="M14" s="70"/>
      <c r="N14" s="262" t="s">
        <v>35</v>
      </c>
      <c r="O14" s="260"/>
      <c r="P14" s="84">
        <f>IF(P13=0,0,IF(P13&lt;240000,6000,IF(P13&gt;500000,(500000*2.5%+(P13-500000)*1.5%),P13*2.5%)))</f>
        <v>0</v>
      </c>
    </row>
    <row r="15" spans="1:18" s="79" customFormat="1" ht="12" customHeight="1" x14ac:dyDescent="0.2">
      <c r="A15" s="66">
        <v>7</v>
      </c>
      <c r="B15" s="13" t="s">
        <v>7</v>
      </c>
      <c r="C15" s="22"/>
      <c r="D15" s="289">
        <f>IF(D12=0,0,IF(D12&lt;L15-J15-I15-H15,D12,L15-J15-I15-H15))</f>
        <v>0</v>
      </c>
      <c r="E15" s="273"/>
      <c r="F15" s="182">
        <f>IF(F12=0,0,IF(F12&lt;L15-J15-I15-H15-D15,F12,L15-J15-I15-H15-D15))</f>
        <v>0</v>
      </c>
      <c r="G15" s="183">
        <f>L15-J15-I15-H15-F15-E15-D15</f>
        <v>0</v>
      </c>
      <c r="H15" s="137">
        <f>IF(H12=0,0,IF(H12&lt;L15-J15,H12,IF(I12&gt;0,(L15-J15)/2,L15-J15)))</f>
        <v>0</v>
      </c>
      <c r="I15" s="177">
        <f>IF(I12=0,0,IF(I12&lt;L15-J15,I12,IF(H12&gt;0,(L15-J15)/2,L15-J15)))</f>
        <v>0</v>
      </c>
      <c r="J15" s="272">
        <f>IF(J12=0,0,IF(L15&gt;=J12,J12,IF(L15&lt;J12,L15,J12-L15)))</f>
        <v>0</v>
      </c>
      <c r="K15" s="273"/>
      <c r="L15" s="81">
        <f>IF(L14&lt;=2000000,0,L14-2000000)</f>
        <v>0</v>
      </c>
      <c r="M15" s="78"/>
      <c r="N15" s="263" t="s">
        <v>36</v>
      </c>
      <c r="O15" s="264"/>
      <c r="P15" s="135">
        <f>IF(P12&lt;=100000,0,IF(P14&gt;17500,17500,P14))</f>
        <v>0</v>
      </c>
      <c r="R15" s="127"/>
    </row>
    <row r="16" spans="1:18" s="43" customFormat="1" ht="12" x14ac:dyDescent="0.2">
      <c r="A16" s="75">
        <v>8</v>
      </c>
      <c r="B16" s="13" t="s">
        <v>19</v>
      </c>
      <c r="C16" s="22"/>
      <c r="D16" s="289">
        <f>D12-D15</f>
        <v>0</v>
      </c>
      <c r="E16" s="273"/>
      <c r="F16" s="182">
        <f>F12-F15</f>
        <v>0</v>
      </c>
      <c r="G16" s="183">
        <f>G12-G15</f>
        <v>0</v>
      </c>
      <c r="H16" s="139">
        <f>H12-H15</f>
        <v>0</v>
      </c>
      <c r="I16" s="177">
        <f>I12-I15</f>
        <v>0</v>
      </c>
      <c r="J16" s="272">
        <f>J12-J15</f>
        <v>0</v>
      </c>
      <c r="K16" s="273"/>
      <c r="L16" s="81">
        <f>SUM(D16:K16)</f>
        <v>0</v>
      </c>
      <c r="M16" s="45"/>
      <c r="N16" s="265"/>
      <c r="O16" s="266"/>
      <c r="P16" s="132">
        <f>IF(P9&lt;P15,P9,P15)</f>
        <v>0</v>
      </c>
    </row>
    <row r="17" spans="1:17" s="43" customFormat="1" ht="48" x14ac:dyDescent="0.2">
      <c r="A17" s="66">
        <v>9</v>
      </c>
      <c r="B17" s="12" t="s">
        <v>39</v>
      </c>
      <c r="C17" s="24"/>
      <c r="D17" s="85"/>
      <c r="E17" s="85"/>
      <c r="F17" s="143"/>
      <c r="G17" s="85"/>
      <c r="H17" s="143"/>
      <c r="I17" s="85"/>
      <c r="J17" s="299"/>
      <c r="K17" s="300"/>
      <c r="L17" s="83"/>
      <c r="M17" s="45"/>
      <c r="N17" s="261" t="s">
        <v>9</v>
      </c>
      <c r="O17" s="256"/>
      <c r="P17" s="86">
        <f>IF(P9&lt;6000,0,P16*60%)</f>
        <v>0</v>
      </c>
    </row>
    <row r="18" spans="1:17" s="43" customFormat="1" ht="12" x14ac:dyDescent="0.2">
      <c r="A18" s="66">
        <v>10</v>
      </c>
      <c r="B18" s="13" t="s">
        <v>8</v>
      </c>
      <c r="C18" s="22"/>
      <c r="D18" s="289">
        <f>IF(D16=0,0,IF(D16&lt;L17-J18-I18-H18,D16,L17-J18-I18-H18))</f>
        <v>0</v>
      </c>
      <c r="E18" s="273"/>
      <c r="F18" s="137">
        <f>IF(F16=0,0,IF(F16&lt;L17-J18-I18-H18-D18,F16,L17-J18-I18-H18-D18))</f>
        <v>0</v>
      </c>
      <c r="G18" s="177">
        <f>IF(G16=0,0,L18-H18-I18-J18-D18-F18)</f>
        <v>0</v>
      </c>
      <c r="H18" s="137">
        <f>IF(H16=0,0,IF(H16&lt;L17-J18,H16,IF(I16&gt;0,(L17-J18)/2,L17-J18)))</f>
        <v>0</v>
      </c>
      <c r="I18" s="177">
        <f>IF(I16=0,0,IF(I16&lt;L17-J18,I16,IF(H16&gt;0,(L17-J18)/2,L17-J18)))</f>
        <v>0</v>
      </c>
      <c r="J18" s="272">
        <f>IF(J16&gt;=L17,L17,IF(J16&lt;L17,J16,J16-L17))</f>
        <v>0</v>
      </c>
      <c r="K18" s="273"/>
      <c r="L18" s="81">
        <f>L17</f>
        <v>0</v>
      </c>
      <c r="M18" s="45"/>
      <c r="N18" s="16"/>
      <c r="O18" s="87"/>
      <c r="P18" s="88"/>
    </row>
    <row r="19" spans="1:17" s="43" customFormat="1" ht="24" x14ac:dyDescent="0.2">
      <c r="A19" s="75">
        <v>11</v>
      </c>
      <c r="B19" s="14" t="s">
        <v>40</v>
      </c>
      <c r="C19" s="24"/>
      <c r="D19" s="290">
        <f>IF(D12&lt;=0,0,IF(H19&lt;0,D12-D15-D18+H19,D12-D15-D18))</f>
        <v>0</v>
      </c>
      <c r="E19" s="291"/>
      <c r="F19" s="184">
        <f>IF(F12&lt;=0,0,IF(D19&lt;0,F12-F15-F18+D19,F12-F15-F18))</f>
        <v>0</v>
      </c>
      <c r="G19" s="185">
        <f>IF(G12&lt;=0,0,IF(F19&lt;0,G12-G15-G18+F19,G12-G15-G18))</f>
        <v>0</v>
      </c>
      <c r="H19" s="128">
        <f>IF(H12&lt;=0,0,IF(J12-J15-J18&lt;0,H12-H15-H18+J19,H12-H15-H18))</f>
        <v>0</v>
      </c>
      <c r="I19" s="129">
        <f>IF(I12&lt;=0,0,IF(J12-J15-J18&lt;0,I12-I15-I18+J19,I12-I15-I18))</f>
        <v>0</v>
      </c>
      <c r="J19" s="298">
        <f>IF(J12&lt;=0,0,IF(H12-H15-H18&lt;0,J12-J15-J18+H19,J12-J15-J18))</f>
        <v>0</v>
      </c>
      <c r="K19" s="291"/>
      <c r="L19" s="89"/>
      <c r="M19" s="45"/>
      <c r="N19" s="242" t="s">
        <v>48</v>
      </c>
      <c r="O19" s="243"/>
      <c r="P19" s="244"/>
    </row>
    <row r="20" spans="1:17" s="43" customFormat="1" ht="12" x14ac:dyDescent="0.2">
      <c r="A20" s="66">
        <v>12</v>
      </c>
      <c r="B20" s="112" t="s">
        <v>37</v>
      </c>
      <c r="C20" s="22"/>
      <c r="D20" s="117">
        <f>ROUND(IF(D19&lt;=0,0,IF(D9=0,0,IF(D9&gt;0,(D9)/(D9+E9)*(D19),(D19)))),2)</f>
        <v>0</v>
      </c>
      <c r="E20" s="117">
        <f>ROUND(IF(D19&lt;=0,0,IF(E9=0,0,IF(D9&gt;0,E9/(D9+E9)*(D19),(D19)))),2)</f>
        <v>0</v>
      </c>
      <c r="F20" s="174">
        <f>ROUND(IF(F19&lt;=0,0,IF(F9&gt;0,F19,0)),2)</f>
        <v>0</v>
      </c>
      <c r="G20" s="117">
        <f>ROUND(IF(G19&lt;=0,0,IF(G9&gt;0,G19,0)),2)</f>
        <v>0</v>
      </c>
      <c r="H20" s="144">
        <f>ROUND(IF(H19&lt;=0,0,IF(H9&gt;0,H19,0)),2)</f>
        <v>0</v>
      </c>
      <c r="I20" s="179">
        <f>ROUND(IF(I19&lt;=0,0,IF(I9&gt;0,I19,0)),2)</f>
        <v>0</v>
      </c>
      <c r="J20" s="118">
        <f>ROUND(IF(J19&lt;=0,0,IF(J9+J10=0,0,IF(J9+J10&gt;0,(J9+J10)/(J9+J10+K9)*(J19),(J19)))),2)</f>
        <v>0</v>
      </c>
      <c r="K20" s="117">
        <f>ROUND(IF(J19&lt;=0,0,IF(K9=0,0,IF(J9+J10&gt;0,K9/(J9+J10+K9)*(J19),(J19)))),2)</f>
        <v>0</v>
      </c>
      <c r="L20" s="110">
        <f>IF(D20+E20+F20+G20+H20+I20+J20+K20&lt;20000,0,D20+E20+F20+G20+H20+I20+J20+K20)</f>
        <v>0</v>
      </c>
      <c r="M20" s="90"/>
      <c r="P20" s="113"/>
    </row>
    <row r="21" spans="1:17" s="43" customFormat="1" ht="12" x14ac:dyDescent="0.2">
      <c r="A21" s="66">
        <v>13</v>
      </c>
      <c r="B21" s="138" t="s">
        <v>42</v>
      </c>
      <c r="C21" s="22"/>
      <c r="D21" s="147"/>
      <c r="E21" s="147"/>
      <c r="F21" s="175"/>
      <c r="G21" s="91">
        <f>G20*65%</f>
        <v>0</v>
      </c>
      <c r="H21" s="149"/>
      <c r="I21" s="147"/>
      <c r="J21" s="149"/>
      <c r="K21" s="147"/>
      <c r="L21" s="129">
        <f>G21</f>
        <v>0</v>
      </c>
      <c r="M21" s="90"/>
      <c r="N21" s="259" t="s">
        <v>37</v>
      </c>
      <c r="O21" s="260"/>
      <c r="P21" s="186">
        <f>IF(L20+P16&gt;2000000,2000000,L20+P16)</f>
        <v>0</v>
      </c>
    </row>
    <row r="22" spans="1:17" s="43" customFormat="1" ht="12" x14ac:dyDescent="0.2">
      <c r="A22" s="75">
        <v>14</v>
      </c>
      <c r="B22" s="138" t="s">
        <v>27</v>
      </c>
      <c r="C22" s="22"/>
      <c r="D22" s="147"/>
      <c r="E22" s="147"/>
      <c r="F22" s="136">
        <f>F20*50%</f>
        <v>0</v>
      </c>
      <c r="G22" s="147"/>
      <c r="H22" s="149"/>
      <c r="I22" s="147"/>
      <c r="J22" s="149"/>
      <c r="K22" s="147"/>
      <c r="L22" s="129">
        <f>F22</f>
        <v>0</v>
      </c>
      <c r="M22" s="90"/>
      <c r="N22" s="316" t="s">
        <v>89</v>
      </c>
      <c r="O22" s="317"/>
      <c r="P22" s="318">
        <f>IF(P21&lt;20000,0,IF(P24=0,0,IF(P24&gt;40,0,IF(P21*10%&gt;20000,20000,P21*10%))))</f>
        <v>0</v>
      </c>
    </row>
    <row r="23" spans="1:17" s="43" customFormat="1" ht="12" x14ac:dyDescent="0.2">
      <c r="A23" s="66">
        <v>15</v>
      </c>
      <c r="B23" s="134" t="s">
        <v>23</v>
      </c>
      <c r="C23" s="39"/>
      <c r="D23" s="91">
        <f>D20*40%</f>
        <v>0</v>
      </c>
      <c r="E23" s="91">
        <f>E20*40%</f>
        <v>0</v>
      </c>
      <c r="F23" s="175"/>
      <c r="G23" s="147"/>
      <c r="H23" s="148"/>
      <c r="I23" s="150"/>
      <c r="J23" s="149"/>
      <c r="K23" s="147"/>
      <c r="L23" s="92">
        <f>SUM(D23:E23)</f>
        <v>0</v>
      </c>
      <c r="M23" s="90"/>
      <c r="N23" s="316" t="s">
        <v>90</v>
      </c>
      <c r="O23" s="317"/>
      <c r="P23" s="318">
        <f>MIN(P22+P25,20000)</f>
        <v>0</v>
      </c>
    </row>
    <row r="24" spans="1:17" s="79" customFormat="1" ht="12" x14ac:dyDescent="0.2">
      <c r="A24" s="66">
        <v>16</v>
      </c>
      <c r="B24" s="18" t="s">
        <v>18</v>
      </c>
      <c r="C24" s="25"/>
      <c r="D24" s="150"/>
      <c r="E24" s="150"/>
      <c r="F24" s="156"/>
      <c r="G24" s="150"/>
      <c r="H24" s="148"/>
      <c r="I24" s="150"/>
      <c r="J24" s="95">
        <f>J20*20%</f>
        <v>0</v>
      </c>
      <c r="K24" s="81">
        <f>K20*20%</f>
        <v>0</v>
      </c>
      <c r="L24" s="96">
        <f>SUM(J24:K24)</f>
        <v>0</v>
      </c>
      <c r="M24" s="90"/>
      <c r="N24" s="253" t="s">
        <v>10</v>
      </c>
      <c r="O24" s="254"/>
      <c r="P24" s="116"/>
      <c r="Q24" s="94"/>
    </row>
    <row r="25" spans="1:17" s="43" customFormat="1" ht="12" x14ac:dyDescent="0.2">
      <c r="A25" s="75">
        <v>17</v>
      </c>
      <c r="B25" s="18" t="s">
        <v>25</v>
      </c>
      <c r="C25" s="25"/>
      <c r="D25" s="150"/>
      <c r="E25" s="150"/>
      <c r="F25" s="156"/>
      <c r="G25" s="150"/>
      <c r="H25" s="95">
        <f>H20*30%</f>
        <v>0</v>
      </c>
      <c r="I25" s="81">
        <f>I20*30%</f>
        <v>0</v>
      </c>
      <c r="J25" s="148"/>
      <c r="K25" s="150"/>
      <c r="L25" s="97">
        <f>SUM(H25:I25)</f>
        <v>0</v>
      </c>
      <c r="M25" s="93"/>
      <c r="N25" s="253" t="s">
        <v>88</v>
      </c>
      <c r="O25" s="254"/>
      <c r="P25" s="315"/>
      <c r="Q25" s="46"/>
    </row>
    <row r="26" spans="1:17" s="43" customFormat="1" ht="12" x14ac:dyDescent="0.2">
      <c r="A26" s="66">
        <v>18</v>
      </c>
      <c r="B26" s="19" t="s">
        <v>0</v>
      </c>
      <c r="C26" s="25"/>
      <c r="D26" s="150"/>
      <c r="E26" s="150"/>
      <c r="F26" s="156"/>
      <c r="G26" s="150"/>
      <c r="H26" s="148"/>
      <c r="I26" s="150"/>
      <c r="J26" s="148"/>
      <c r="K26" s="150"/>
      <c r="L26" s="96">
        <f>IF(P17=0,0,P17)</f>
        <v>0</v>
      </c>
      <c r="M26" s="90"/>
      <c r="N26" s="255" t="s">
        <v>11</v>
      </c>
      <c r="O26" s="256"/>
      <c r="P26" s="86">
        <f>P23-P25</f>
        <v>0</v>
      </c>
      <c r="Q26" s="46"/>
    </row>
    <row r="27" spans="1:17" s="43" customFormat="1" ht="12" x14ac:dyDescent="0.2">
      <c r="A27" s="66">
        <v>19</v>
      </c>
      <c r="B27" s="20" t="s">
        <v>11</v>
      </c>
      <c r="C27" s="26"/>
      <c r="D27" s="150"/>
      <c r="E27" s="150"/>
      <c r="F27" s="156"/>
      <c r="G27" s="150"/>
      <c r="H27" s="148"/>
      <c r="I27" s="150"/>
      <c r="J27" s="148"/>
      <c r="K27" s="150"/>
      <c r="L27" s="97">
        <f>P26</f>
        <v>0</v>
      </c>
      <c r="M27" s="90"/>
      <c r="N27" s="35"/>
      <c r="O27" s="98"/>
      <c r="P27" s="99"/>
      <c r="Q27" s="46"/>
    </row>
    <row r="28" spans="1:17" s="43" customFormat="1" ht="12" x14ac:dyDescent="0.2">
      <c r="A28" s="75">
        <v>20</v>
      </c>
      <c r="B28" s="18" t="s">
        <v>16</v>
      </c>
      <c r="C28" s="25"/>
      <c r="D28" s="152"/>
      <c r="E28" s="152"/>
      <c r="F28" s="176"/>
      <c r="G28" s="152"/>
      <c r="H28" s="153"/>
      <c r="I28" s="152"/>
      <c r="J28" s="153"/>
      <c r="K28" s="152"/>
      <c r="L28" s="96">
        <f>SUM(L21:L27)</f>
        <v>0</v>
      </c>
      <c r="M28" s="90"/>
      <c r="N28" s="42" t="s">
        <v>44</v>
      </c>
      <c r="O28" s="245">
        <v>0</v>
      </c>
      <c r="P28" s="246"/>
      <c r="Q28" s="46"/>
    </row>
    <row r="29" spans="1:17" s="43" customFormat="1" thickBot="1" x14ac:dyDescent="0.25">
      <c r="A29" s="66">
        <v>21</v>
      </c>
      <c r="B29" s="146" t="s">
        <v>49</v>
      </c>
      <c r="C29" s="168"/>
      <c r="D29" s="100"/>
      <c r="E29" s="100"/>
      <c r="F29" s="145"/>
      <c r="G29" s="145"/>
      <c r="H29" s="100"/>
      <c r="I29" s="100"/>
      <c r="J29" s="101"/>
      <c r="K29" s="101"/>
      <c r="L29" s="102" t="str">
        <f>IF(L28&lt;=(L20+P16)*65%,"richtig",FALSE)</f>
        <v>richtig</v>
      </c>
      <c r="M29" s="90"/>
      <c r="O29" s="114"/>
      <c r="P29" s="123"/>
      <c r="Q29" s="46"/>
    </row>
    <row r="30" spans="1:17" s="43" customFormat="1" ht="12" customHeight="1" x14ac:dyDescent="0.2">
      <c r="A30" s="66">
        <v>22</v>
      </c>
      <c r="B30" s="17" t="s">
        <v>0</v>
      </c>
      <c r="C30" s="163"/>
      <c r="D30" s="154"/>
      <c r="E30" s="155"/>
      <c r="F30" s="155"/>
      <c r="G30" s="155"/>
      <c r="H30" s="155"/>
      <c r="I30" s="155"/>
      <c r="J30" s="155"/>
      <c r="K30" s="155"/>
      <c r="L30" s="103">
        <f>IF(L14+P16&gt;=2000000,0,IF(L31+L32+L33+L34+L36+L35&gt;=1000000,0,IF(L26+L31+L32+L33+L34+L36+L35&gt;(L20+P16)*65%,(L20+P16)*65%-L31-L32-L33-L34-L36-L35,L26)))</f>
        <v>0</v>
      </c>
      <c r="M30" s="90"/>
      <c r="N30" s="44" t="s">
        <v>13</v>
      </c>
      <c r="O30" s="247"/>
      <c r="P30" s="248"/>
      <c r="Q30" s="46"/>
    </row>
    <row r="31" spans="1:17" s="43" customFormat="1" ht="12" x14ac:dyDescent="0.2">
      <c r="A31" s="75">
        <v>23</v>
      </c>
      <c r="B31" s="15" t="s">
        <v>11</v>
      </c>
      <c r="C31" s="164"/>
      <c r="D31" s="151"/>
      <c r="E31" s="156"/>
      <c r="F31" s="156"/>
      <c r="G31" s="156"/>
      <c r="H31" s="156"/>
      <c r="I31" s="156"/>
      <c r="J31" s="156"/>
      <c r="K31" s="156"/>
      <c r="L31" s="105">
        <f>L27</f>
        <v>0</v>
      </c>
      <c r="M31" s="90"/>
      <c r="N31" s="45"/>
      <c r="O31" s="48"/>
      <c r="P31" s="53"/>
      <c r="Q31" s="46"/>
    </row>
    <row r="32" spans="1:17" s="43" customFormat="1" ht="12" x14ac:dyDescent="0.2">
      <c r="A32" s="66">
        <v>24</v>
      </c>
      <c r="B32" s="15" t="s">
        <v>42</v>
      </c>
      <c r="C32" s="164"/>
      <c r="D32" s="151"/>
      <c r="E32" s="156"/>
      <c r="F32" s="156"/>
      <c r="G32" s="156"/>
      <c r="H32" s="156"/>
      <c r="I32" s="156"/>
      <c r="J32" s="156"/>
      <c r="K32" s="156"/>
      <c r="L32" s="105">
        <f>IF(L21+L27&gt;=1000000,1000000-L27,IF(L21+L27&gt;L20*65%,L21-L27,L21))</f>
        <v>0</v>
      </c>
      <c r="M32" s="104"/>
      <c r="N32" s="44" t="s">
        <v>19</v>
      </c>
      <c r="O32" s="249">
        <f>IF(L37&lt;O30,L37,O30)</f>
        <v>0</v>
      </c>
      <c r="P32" s="250"/>
      <c r="Q32" s="46"/>
    </row>
    <row r="33" spans="1:17" s="43" customFormat="1" ht="12" x14ac:dyDescent="0.2">
      <c r="A33" s="66">
        <v>25</v>
      </c>
      <c r="B33" s="15" t="s">
        <v>27</v>
      </c>
      <c r="C33" s="164"/>
      <c r="D33" s="151"/>
      <c r="E33" s="156"/>
      <c r="F33" s="156"/>
      <c r="G33" s="156"/>
      <c r="H33" s="156"/>
      <c r="I33" s="156"/>
      <c r="J33" s="156"/>
      <c r="K33" s="156"/>
      <c r="L33" s="105">
        <f>IF(L22=0,0,IF(L31+L32&gt;=1000000,0,IF(L21+L22+L27&gt;=1000000,1000000-L21-L27,L22)))</f>
        <v>0</v>
      </c>
      <c r="N33" s="78"/>
      <c r="O33" s="107"/>
      <c r="P33" s="53"/>
      <c r="Q33" s="46"/>
    </row>
    <row r="34" spans="1:17" s="43" customFormat="1" ht="12" x14ac:dyDescent="0.2">
      <c r="A34" s="75">
        <v>26</v>
      </c>
      <c r="B34" s="13" t="s">
        <v>26</v>
      </c>
      <c r="C34" s="165"/>
      <c r="D34" s="151"/>
      <c r="E34" s="156"/>
      <c r="F34" s="156"/>
      <c r="G34" s="156"/>
      <c r="H34" s="156"/>
      <c r="I34" s="156"/>
      <c r="J34" s="157"/>
      <c r="K34" s="156"/>
      <c r="L34" s="105">
        <f>IF(L23=0,0,IF(L31+L32+L33&gt;=1000000,0,IF(L21+L22+L23+L27&gt;=1000000,1000000-L21-L22-L27,L23)))</f>
        <v>0</v>
      </c>
      <c r="M34" s="90"/>
      <c r="N34" s="257" t="s">
        <v>21</v>
      </c>
      <c r="O34" s="251">
        <f>IF(O28+O32&gt;1000000,1000000-O28,O32)</f>
        <v>0</v>
      </c>
      <c r="P34" s="252"/>
      <c r="Q34" s="46"/>
    </row>
    <row r="35" spans="1:17" s="43" customFormat="1" ht="12" x14ac:dyDescent="0.2">
      <c r="A35" s="66">
        <v>27</v>
      </c>
      <c r="B35" s="27" t="s">
        <v>25</v>
      </c>
      <c r="C35" s="166"/>
      <c r="D35" s="158"/>
      <c r="E35" s="159"/>
      <c r="F35" s="159"/>
      <c r="G35" s="159"/>
      <c r="H35" s="159"/>
      <c r="I35" s="159"/>
      <c r="J35" s="160"/>
      <c r="K35" s="159"/>
      <c r="L35" s="106">
        <f>IF(L25=0,0,IF(L31+L32+L33+L34&gt;=1000000,0,IF(L21+L22+L23+L25+L27&gt;=1000000,1000000-L21-L22-L23-L27,L25)))</f>
        <v>0</v>
      </c>
      <c r="M35" s="45"/>
      <c r="N35" s="258"/>
      <c r="O35" s="251"/>
      <c r="P35" s="252"/>
      <c r="Q35" s="46"/>
    </row>
    <row r="36" spans="1:17" s="43" customFormat="1" x14ac:dyDescent="0.2">
      <c r="A36" s="66">
        <v>28</v>
      </c>
      <c r="B36" s="13" t="s">
        <v>18</v>
      </c>
      <c r="C36" s="165"/>
      <c r="D36" s="151"/>
      <c r="E36" s="156"/>
      <c r="F36" s="156"/>
      <c r="G36" s="156"/>
      <c r="H36" s="156"/>
      <c r="I36" s="156"/>
      <c r="J36" s="156"/>
      <c r="K36" s="156"/>
      <c r="L36" s="105">
        <f>IF(L24=0,0,IF(L31+L32+L33+L34+L35&gt;=1000000,0,IF(L21+L22+L23+L24+L25+L27&gt;=1000000,1000000-L21-L22-L23-L25-L27,L24)))</f>
        <v>0</v>
      </c>
      <c r="M36" s="45"/>
      <c r="N36" s="1"/>
      <c r="O36" s="28"/>
      <c r="P36" s="111"/>
    </row>
    <row r="37" spans="1:17" ht="13.5" thickBot="1" x14ac:dyDescent="0.25">
      <c r="A37" s="75">
        <v>29</v>
      </c>
      <c r="B37" s="108" t="s">
        <v>15</v>
      </c>
      <c r="C37" s="167"/>
      <c r="D37" s="161"/>
      <c r="E37" s="162"/>
      <c r="F37" s="162"/>
      <c r="G37" s="162"/>
      <c r="H37" s="162"/>
      <c r="I37" s="162"/>
      <c r="J37" s="162"/>
      <c r="K37" s="162"/>
      <c r="L37" s="109">
        <f>SUM(L30:L36)</f>
        <v>0</v>
      </c>
      <c r="M37" s="29"/>
      <c r="N37" s="238" t="s">
        <v>14</v>
      </c>
      <c r="O37" s="238"/>
      <c r="P37" s="30"/>
    </row>
    <row r="38" spans="1:17" x14ac:dyDescent="0.2">
      <c r="A38" s="31"/>
      <c r="B38" s="189"/>
      <c r="C38" s="189"/>
      <c r="D38" s="189"/>
      <c r="E38" s="189"/>
      <c r="F38" s="189"/>
      <c r="G38" s="189"/>
      <c r="K38" s="1"/>
    </row>
    <row r="39" spans="1:17" x14ac:dyDescent="0.2">
      <c r="B39" s="189"/>
      <c r="C39" s="189"/>
      <c r="D39" s="189"/>
      <c r="E39" s="189"/>
      <c r="F39" s="189"/>
      <c r="G39" s="189"/>
      <c r="J39" s="3"/>
      <c r="K39" s="1"/>
      <c r="L39" s="28"/>
    </row>
    <row r="40" spans="1:17" x14ac:dyDescent="0.2">
      <c r="B40" s="31"/>
      <c r="C40" s="189"/>
      <c r="D40" s="189"/>
      <c r="E40" s="189"/>
      <c r="F40" s="189"/>
      <c r="G40" s="189"/>
      <c r="J40" s="3"/>
      <c r="K40" s="1"/>
      <c r="L40" s="28"/>
    </row>
    <row r="41" spans="1:17" x14ac:dyDescent="0.2">
      <c r="B41" s="31"/>
      <c r="C41" s="190"/>
      <c r="D41" s="190"/>
      <c r="E41" s="190"/>
      <c r="F41" s="190"/>
      <c r="G41" s="190"/>
      <c r="H41" s="3"/>
      <c r="I41" s="3"/>
      <c r="J41" s="3"/>
      <c r="K41" s="1"/>
      <c r="L41" s="28"/>
    </row>
    <row r="42" spans="1:17" x14ac:dyDescent="0.2">
      <c r="B42" s="189"/>
      <c r="C42" s="189"/>
      <c r="D42" s="189"/>
      <c r="E42" s="189"/>
      <c r="F42" s="189"/>
      <c r="G42" s="189"/>
      <c r="J42" s="3"/>
      <c r="K42" s="1"/>
      <c r="L42" s="28"/>
    </row>
    <row r="43" spans="1:17" x14ac:dyDescent="0.2">
      <c r="B43" s="189"/>
      <c r="C43" s="189"/>
      <c r="D43" s="189"/>
      <c r="E43" s="189"/>
      <c r="F43" s="189"/>
      <c r="G43" s="189"/>
    </row>
    <row r="44" spans="1:17" x14ac:dyDescent="0.2">
      <c r="B44" s="189"/>
      <c r="C44" s="189"/>
      <c r="D44" s="189"/>
      <c r="E44" s="189"/>
      <c r="F44" s="189"/>
      <c r="G44" s="189"/>
    </row>
    <row r="45" spans="1:17" x14ac:dyDescent="0.2">
      <c r="B45" s="189"/>
      <c r="C45" s="189"/>
      <c r="D45" s="189"/>
      <c r="E45" s="189"/>
      <c r="F45" s="189"/>
      <c r="G45" s="189"/>
    </row>
    <row r="46" spans="1:17" x14ac:dyDescent="0.2">
      <c r="B46" s="189"/>
      <c r="C46" s="189"/>
      <c r="D46" s="189"/>
      <c r="E46" s="189"/>
      <c r="F46" s="189"/>
      <c r="G46" s="189"/>
    </row>
    <row r="47" spans="1:17" x14ac:dyDescent="0.2">
      <c r="B47" s="189"/>
      <c r="C47" s="189"/>
      <c r="D47" s="189"/>
      <c r="E47" s="189"/>
      <c r="F47" s="189"/>
      <c r="G47" s="189"/>
    </row>
  </sheetData>
  <sheetProtection algorithmName="SHA-512" hashValue="PjVXPsY23DciqxbAJPMa4BfCwM5i/hap+EwDSgyzw/GHB598QevE3PRvjVvPkR8W5IK1ErE+Kx7F9xAYRdQsHQ==" saltValue="Bhm2S5rHbZZ7RYgJ5XkI9A==" spinCount="100000" sheet="1" selectLockedCells="1"/>
  <mergeCells count="49">
    <mergeCell ref="D16:E16"/>
    <mergeCell ref="D18:E18"/>
    <mergeCell ref="D19:E19"/>
    <mergeCell ref="B2:L2"/>
    <mergeCell ref="B7:B8"/>
    <mergeCell ref="C7:C8"/>
    <mergeCell ref="J19:K19"/>
    <mergeCell ref="J16:K16"/>
    <mergeCell ref="J17:K17"/>
    <mergeCell ref="J18:K18"/>
    <mergeCell ref="J13:K13"/>
    <mergeCell ref="J14:K14"/>
    <mergeCell ref="D11:E11"/>
    <mergeCell ref="D12:E12"/>
    <mergeCell ref="J15:K15"/>
    <mergeCell ref="D15:E15"/>
    <mergeCell ref="N2:P2"/>
    <mergeCell ref="D4:L4"/>
    <mergeCell ref="J6:K6"/>
    <mergeCell ref="D7:D8"/>
    <mergeCell ref="E7:E8"/>
    <mergeCell ref="F7:F8"/>
    <mergeCell ref="G7:G8"/>
    <mergeCell ref="H7:H8"/>
    <mergeCell ref="J7:J8"/>
    <mergeCell ref="N6:O6"/>
    <mergeCell ref="K7:K8"/>
    <mergeCell ref="N9:O9"/>
    <mergeCell ref="N10:O10"/>
    <mergeCell ref="J10:K10"/>
    <mergeCell ref="J12:K12"/>
    <mergeCell ref="N13:O13"/>
    <mergeCell ref="J11:K11"/>
    <mergeCell ref="N12:O12"/>
    <mergeCell ref="N37:O37"/>
    <mergeCell ref="N11:P11"/>
    <mergeCell ref="N19:P19"/>
    <mergeCell ref="O28:P28"/>
    <mergeCell ref="O30:P30"/>
    <mergeCell ref="O32:P32"/>
    <mergeCell ref="O34:P35"/>
    <mergeCell ref="N25:O25"/>
    <mergeCell ref="N26:O26"/>
    <mergeCell ref="N34:N35"/>
    <mergeCell ref="N21:O21"/>
    <mergeCell ref="N24:O24"/>
    <mergeCell ref="N17:O17"/>
    <mergeCell ref="N14:O14"/>
    <mergeCell ref="N15:O16"/>
  </mergeCells>
  <pageMargins left="0.19685039370078741" right="0" top="0.78740157480314965" bottom="0.78740157480314965" header="0.31496062992125984" footer="0.31496062992125984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4" zoomScale="110" zoomScaleNormal="110" zoomScaleSheetLayoutView="80" workbookViewId="0">
      <selection activeCell="D9" sqref="D9"/>
    </sheetView>
  </sheetViews>
  <sheetFormatPr baseColWidth="10" defaultRowHeight="12.75" x14ac:dyDescent="0.2"/>
  <cols>
    <col min="1" max="1" width="2.5703125" customWidth="1"/>
    <col min="2" max="2" width="5" customWidth="1"/>
    <col min="3" max="3" width="17.28515625" customWidth="1"/>
    <col min="4" max="4" width="15.28515625" style="191" customWidth="1"/>
    <col min="5" max="8" width="13.7109375" style="191" customWidth="1"/>
    <col min="9" max="12" width="14.5703125" style="191" customWidth="1"/>
    <col min="13" max="13" width="13.5703125" customWidth="1"/>
    <col min="14" max="14" width="11.7109375" bestFit="1" customWidth="1"/>
  </cols>
  <sheetData>
    <row r="1" spans="1:13" x14ac:dyDescent="0.2">
      <c r="B1" t="s">
        <v>75</v>
      </c>
      <c r="F1" s="311" t="s">
        <v>3</v>
      </c>
      <c r="G1" s="311"/>
      <c r="H1" s="311"/>
      <c r="I1" s="222"/>
      <c r="J1" s="220" t="s">
        <v>58</v>
      </c>
      <c r="K1" s="221">
        <f ca="1">NOW()</f>
        <v>45405.362831365739</v>
      </c>
    </row>
    <row r="3" spans="1:13" ht="30.6" customHeight="1" x14ac:dyDescent="0.2">
      <c r="A3" s="194"/>
      <c r="B3" s="314" t="s">
        <v>85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3" x14ac:dyDescent="0.2">
      <c r="A4" s="194"/>
      <c r="B4" s="226" t="s">
        <v>81</v>
      </c>
      <c r="C4" s="226"/>
      <c r="D4" s="312">
        <f>AFP!D4</f>
        <v>0</v>
      </c>
      <c r="E4" s="312"/>
      <c r="F4" s="312"/>
      <c r="G4" s="196"/>
      <c r="H4" s="196"/>
      <c r="I4" s="196"/>
      <c r="J4" s="196"/>
      <c r="K4" s="196"/>
      <c r="L4" s="196"/>
    </row>
    <row r="5" spans="1:13" x14ac:dyDescent="0.2">
      <c r="A5" s="194"/>
      <c r="B5" s="223"/>
      <c r="C5" s="226" t="s">
        <v>82</v>
      </c>
      <c r="D5" s="313" t="str">
        <f>AFP!N4</f>
        <v xml:space="preserve"> -5411.72</v>
      </c>
      <c r="E5" s="313"/>
      <c r="F5" s="313"/>
      <c r="G5" s="196"/>
      <c r="H5" s="196"/>
      <c r="I5" s="196"/>
      <c r="J5" s="196"/>
      <c r="K5" s="196"/>
      <c r="L5" s="196"/>
    </row>
    <row r="6" spans="1:13" x14ac:dyDescent="0.2">
      <c r="A6" s="194"/>
      <c r="B6" s="195"/>
      <c r="C6" s="194"/>
      <c r="D6" s="196"/>
      <c r="E6" s="196"/>
      <c r="F6" s="196"/>
      <c r="G6" s="196"/>
      <c r="H6" s="196"/>
      <c r="I6" s="196"/>
      <c r="J6" s="196"/>
      <c r="K6" s="196"/>
      <c r="L6" s="196"/>
    </row>
    <row r="7" spans="1:13" ht="69.599999999999994" customHeight="1" x14ac:dyDescent="0.2">
      <c r="A7" s="194"/>
      <c r="B7" s="197"/>
      <c r="C7" s="225" t="s">
        <v>74</v>
      </c>
      <c r="D7" s="308" t="s">
        <v>84</v>
      </c>
      <c r="E7" s="198" t="s">
        <v>50</v>
      </c>
      <c r="F7" s="199" t="s">
        <v>50</v>
      </c>
      <c r="G7" s="199" t="s">
        <v>76</v>
      </c>
      <c r="H7" s="199" t="s">
        <v>52</v>
      </c>
      <c r="I7" s="199" t="s">
        <v>79</v>
      </c>
      <c r="J7" s="199" t="s">
        <v>80</v>
      </c>
      <c r="K7" s="199" t="s">
        <v>60</v>
      </c>
      <c r="L7" s="199" t="s">
        <v>61</v>
      </c>
    </row>
    <row r="8" spans="1:13" ht="72.599999999999994" customHeight="1" x14ac:dyDescent="0.2">
      <c r="A8" s="200"/>
      <c r="B8" s="201"/>
      <c r="C8" s="202"/>
      <c r="D8" s="309"/>
      <c r="E8" s="203" t="s">
        <v>43</v>
      </c>
      <c r="F8" s="204" t="s">
        <v>29</v>
      </c>
      <c r="G8" s="204" t="s">
        <v>30</v>
      </c>
      <c r="H8" s="204" t="s">
        <v>45</v>
      </c>
      <c r="I8" s="204" t="s">
        <v>59</v>
      </c>
      <c r="J8" s="204" t="s">
        <v>41</v>
      </c>
      <c r="K8" s="204" t="s">
        <v>24</v>
      </c>
      <c r="L8" s="204" t="s">
        <v>62</v>
      </c>
    </row>
    <row r="9" spans="1:13" ht="27.6" customHeight="1" x14ac:dyDescent="0.2">
      <c r="C9" s="205" t="s">
        <v>64</v>
      </c>
      <c r="D9" s="209"/>
      <c r="E9" s="193">
        <f>D9</f>
        <v>0</v>
      </c>
      <c r="F9" s="224"/>
      <c r="G9" s="224"/>
      <c r="H9" s="224"/>
      <c r="I9" s="224"/>
      <c r="J9" s="224"/>
      <c r="K9" s="224"/>
      <c r="L9" s="224"/>
    </row>
    <row r="10" spans="1:13" ht="27.6" customHeight="1" x14ac:dyDescent="0.2">
      <c r="C10" s="206" t="s">
        <v>63</v>
      </c>
      <c r="D10" s="210"/>
      <c r="E10" s="229"/>
      <c r="F10" s="193">
        <f>D10</f>
        <v>0</v>
      </c>
      <c r="G10" s="224"/>
      <c r="H10" s="224"/>
      <c r="I10" s="224"/>
      <c r="J10" s="224"/>
      <c r="K10" s="224"/>
      <c r="L10" s="224"/>
    </row>
    <row r="11" spans="1:13" ht="16.899999999999999" customHeight="1" x14ac:dyDescent="0.2">
      <c r="C11" s="208" t="s">
        <v>77</v>
      </c>
      <c r="D11" s="210"/>
      <c r="E11" s="224"/>
      <c r="F11" s="224"/>
      <c r="G11" s="193">
        <f>D11</f>
        <v>0</v>
      </c>
      <c r="H11" s="224"/>
      <c r="I11" s="224"/>
      <c r="J11" s="224"/>
      <c r="K11" s="224"/>
      <c r="L11" s="224"/>
    </row>
    <row r="12" spans="1:13" x14ac:dyDescent="0.2">
      <c r="C12" s="208" t="s">
        <v>65</v>
      </c>
      <c r="D12" s="210"/>
      <c r="E12" s="224"/>
      <c r="F12" s="224"/>
      <c r="G12" s="224"/>
      <c r="H12" s="193">
        <f>D12</f>
        <v>0</v>
      </c>
      <c r="I12" s="224"/>
      <c r="J12" s="224"/>
      <c r="K12" s="224"/>
      <c r="L12" s="224"/>
      <c r="M12" s="191"/>
    </row>
    <row r="13" spans="1:13" ht="26.45" customHeight="1" x14ac:dyDescent="0.2">
      <c r="C13" s="206" t="s">
        <v>66</v>
      </c>
      <c r="D13" s="210"/>
      <c r="E13" s="224"/>
      <c r="F13" s="224"/>
      <c r="G13" s="224"/>
      <c r="H13" s="224"/>
      <c r="I13" s="193">
        <f>D13</f>
        <v>0</v>
      </c>
      <c r="J13" s="224"/>
      <c r="K13" s="224"/>
      <c r="L13" s="224"/>
      <c r="M13" s="191"/>
    </row>
    <row r="14" spans="1:13" ht="13.9" customHeight="1" x14ac:dyDescent="0.2">
      <c r="C14" s="206" t="s">
        <v>69</v>
      </c>
      <c r="D14" s="210"/>
      <c r="E14" s="224"/>
      <c r="F14" s="224"/>
      <c r="G14" s="224"/>
      <c r="H14" s="224"/>
      <c r="I14" s="224"/>
      <c r="J14" s="193">
        <f>D14</f>
        <v>0</v>
      </c>
      <c r="K14" s="224"/>
      <c r="L14" s="224"/>
      <c r="M14" s="191"/>
    </row>
    <row r="15" spans="1:13" ht="35.25" x14ac:dyDescent="0.2">
      <c r="C15" s="206" t="s">
        <v>68</v>
      </c>
      <c r="D15" s="210"/>
      <c r="E15" s="224"/>
      <c r="F15" s="224"/>
      <c r="G15" s="224"/>
      <c r="H15" s="224"/>
      <c r="I15" s="224"/>
      <c r="J15" s="224"/>
      <c r="K15" s="193">
        <f>D15</f>
        <v>0</v>
      </c>
      <c r="L15" s="224"/>
      <c r="M15" s="191"/>
    </row>
    <row r="16" spans="1:13" ht="35.450000000000003" customHeight="1" x14ac:dyDescent="0.2">
      <c r="C16" s="207" t="s">
        <v>78</v>
      </c>
      <c r="D16" s="210"/>
      <c r="E16" s="224"/>
      <c r="F16" s="224"/>
      <c r="G16" s="224"/>
      <c r="H16" s="224"/>
      <c r="I16" s="224"/>
      <c r="J16" s="224"/>
      <c r="K16" s="224"/>
      <c r="L16" s="193">
        <f>D16</f>
        <v>0</v>
      </c>
    </row>
    <row r="17" spans="3:14" ht="27.6" customHeight="1" x14ac:dyDescent="0.2">
      <c r="C17" s="208" t="s">
        <v>19</v>
      </c>
      <c r="D17" s="193">
        <f t="shared" ref="D17:L17" si="0">SUM(D9:D16)</f>
        <v>0</v>
      </c>
      <c r="E17" s="193">
        <f t="shared" si="0"/>
        <v>0</v>
      </c>
      <c r="F17" s="193">
        <f t="shared" si="0"/>
        <v>0</v>
      </c>
      <c r="G17" s="193">
        <f t="shared" si="0"/>
        <v>0</v>
      </c>
      <c r="H17" s="193">
        <f t="shared" si="0"/>
        <v>0</v>
      </c>
      <c r="I17" s="193">
        <f t="shared" si="0"/>
        <v>0</v>
      </c>
      <c r="J17" s="193">
        <f t="shared" si="0"/>
        <v>0</v>
      </c>
      <c r="K17" s="193">
        <f t="shared" si="0"/>
        <v>0</v>
      </c>
      <c r="L17" s="193">
        <f t="shared" si="0"/>
        <v>0</v>
      </c>
    </row>
    <row r="18" spans="3:14" ht="51.75" thickBot="1" x14ac:dyDescent="0.25">
      <c r="C18" s="213" t="s">
        <v>83</v>
      </c>
      <c r="D18" s="214">
        <f>SUM(E18:K18)</f>
        <v>0</v>
      </c>
      <c r="E18" s="214">
        <f t="shared" ref="E18:L18" si="1">E17</f>
        <v>0</v>
      </c>
      <c r="F18" s="214">
        <f t="shared" si="1"/>
        <v>0</v>
      </c>
      <c r="G18" s="214">
        <f t="shared" si="1"/>
        <v>0</v>
      </c>
      <c r="H18" s="214">
        <f t="shared" si="1"/>
        <v>0</v>
      </c>
      <c r="I18" s="214">
        <f t="shared" si="1"/>
        <v>0</v>
      </c>
      <c r="J18" s="214">
        <f t="shared" si="1"/>
        <v>0</v>
      </c>
      <c r="K18" s="214">
        <f t="shared" si="1"/>
        <v>0</v>
      </c>
      <c r="L18" s="214">
        <f t="shared" si="1"/>
        <v>0</v>
      </c>
      <c r="N18" s="191"/>
    </row>
    <row r="19" spans="3:14" ht="24" customHeight="1" thickTop="1" thickBot="1" x14ac:dyDescent="0.25">
      <c r="C19" s="310" t="s">
        <v>71</v>
      </c>
      <c r="D19" s="310"/>
      <c r="E19" s="216">
        <f>IF(E18=0,0,E18/D18)</f>
        <v>0</v>
      </c>
      <c r="F19" s="216">
        <f>IF(F18=0,0,F18/D18)</f>
        <v>0</v>
      </c>
      <c r="G19" s="216">
        <f>IF(G18=0,0,G18/D18)</f>
        <v>0</v>
      </c>
      <c r="H19" s="216">
        <f>IF(H18=0,0,H18/D18)</f>
        <v>0</v>
      </c>
      <c r="I19" s="216">
        <f>IF(I18=0,0,I18/D18)</f>
        <v>0</v>
      </c>
      <c r="J19" s="216">
        <f>IF(J18=0,0,J18/D18)</f>
        <v>0</v>
      </c>
      <c r="K19" s="216">
        <f>IF(K18=0,0,K18/D18)</f>
        <v>0</v>
      </c>
      <c r="L19" s="217">
        <v>0</v>
      </c>
      <c r="M19" s="235">
        <f>SUM(E19:K19)</f>
        <v>0</v>
      </c>
      <c r="N19" s="236" t="str">
        <f>IF(OR(M20=0%,100%),"Richtig",FALSE)</f>
        <v>Richtig</v>
      </c>
    </row>
    <row r="20" spans="3:14" s="192" customFormat="1" ht="26.25" thickTop="1" x14ac:dyDescent="0.2">
      <c r="C20" s="215" t="s">
        <v>70</v>
      </c>
      <c r="D20" s="228"/>
      <c r="E20" s="233">
        <f>D20*E19</f>
        <v>0</v>
      </c>
      <c r="F20" s="233">
        <f>D20*F19</f>
        <v>0</v>
      </c>
      <c r="G20" s="233">
        <f>D20*G19</f>
        <v>0</v>
      </c>
      <c r="H20" s="233">
        <f>D20*H19</f>
        <v>0</v>
      </c>
      <c r="I20" s="233">
        <f>D20*I19</f>
        <v>0</v>
      </c>
      <c r="J20" s="233">
        <f>D20*J19</f>
        <v>0</v>
      </c>
      <c r="K20" s="233">
        <f>D20*K19</f>
        <v>0</v>
      </c>
      <c r="L20" s="230"/>
    </row>
    <row r="21" spans="3:14" x14ac:dyDescent="0.2">
      <c r="C21" s="227"/>
      <c r="D21" s="210"/>
      <c r="E21" s="234">
        <f>D21*E19</f>
        <v>0</v>
      </c>
      <c r="F21" s="234">
        <f>D21*F19</f>
        <v>0</v>
      </c>
      <c r="G21" s="234">
        <f>D21*G19</f>
        <v>0</v>
      </c>
      <c r="H21" s="234">
        <f>D21*H19</f>
        <v>0</v>
      </c>
      <c r="I21" s="234">
        <f>D21*I19</f>
        <v>0</v>
      </c>
      <c r="J21" s="234">
        <f>D21*J19</f>
        <v>0</v>
      </c>
      <c r="K21" s="234">
        <f>D21*K19</f>
        <v>0</v>
      </c>
      <c r="L21" s="231"/>
    </row>
    <row r="22" spans="3:14" x14ac:dyDescent="0.2">
      <c r="C22" s="227"/>
      <c r="D22" s="210"/>
      <c r="E22" s="234">
        <f>D22*E19</f>
        <v>0</v>
      </c>
      <c r="F22" s="234">
        <f>D22*F19</f>
        <v>0</v>
      </c>
      <c r="G22" s="234">
        <f>D22*G19</f>
        <v>0</v>
      </c>
      <c r="H22" s="234">
        <f>D22*H19</f>
        <v>0</v>
      </c>
      <c r="I22" s="234">
        <f>D22*I19</f>
        <v>0</v>
      </c>
      <c r="J22" s="234">
        <f>D22*J19</f>
        <v>0</v>
      </c>
      <c r="K22" s="234">
        <f>D22*K19</f>
        <v>0</v>
      </c>
      <c r="L22" s="231"/>
    </row>
    <row r="23" spans="3:14" x14ac:dyDescent="0.2">
      <c r="C23" s="227"/>
      <c r="D23" s="210"/>
      <c r="E23" s="234">
        <f>D23*E19</f>
        <v>0</v>
      </c>
      <c r="F23" s="234">
        <f>D23*F19</f>
        <v>0</v>
      </c>
      <c r="G23" s="234">
        <f>D23*G19</f>
        <v>0</v>
      </c>
      <c r="H23" s="234">
        <f>D23*H19</f>
        <v>0</v>
      </c>
      <c r="I23" s="234">
        <f>D23*I19</f>
        <v>0</v>
      </c>
      <c r="J23" s="234">
        <f>D23*J19</f>
        <v>0</v>
      </c>
      <c r="K23" s="234">
        <f>D23*K19</f>
        <v>0</v>
      </c>
      <c r="L23" s="231"/>
    </row>
    <row r="24" spans="3:14" x14ac:dyDescent="0.2">
      <c r="C24" s="227"/>
      <c r="D24" s="210"/>
      <c r="E24" s="234">
        <f>D24*E19</f>
        <v>0</v>
      </c>
      <c r="F24" s="234">
        <f>D24*F19</f>
        <v>0</v>
      </c>
      <c r="G24" s="234">
        <f>D24*G19</f>
        <v>0</v>
      </c>
      <c r="H24" s="234">
        <f>D24*H19</f>
        <v>0</v>
      </c>
      <c r="I24" s="234">
        <f>D24*I19</f>
        <v>0</v>
      </c>
      <c r="J24" s="234">
        <f>D24*J19</f>
        <v>0</v>
      </c>
      <c r="K24" s="234">
        <f>D24*K19</f>
        <v>0</v>
      </c>
      <c r="L24" s="231"/>
    </row>
    <row r="25" spans="3:14" ht="25.5" x14ac:dyDescent="0.2">
      <c r="C25" s="212" t="s">
        <v>72</v>
      </c>
      <c r="D25" s="211">
        <f t="shared" ref="D25:J25" si="2">SUM(D20:D24)</f>
        <v>0</v>
      </c>
      <c r="E25" s="211">
        <f t="shared" si="2"/>
        <v>0</v>
      </c>
      <c r="F25" s="211">
        <f>SUM(F20:F24)</f>
        <v>0</v>
      </c>
      <c r="G25" s="211">
        <f>SUM(G20:G24)</f>
        <v>0</v>
      </c>
      <c r="H25" s="211">
        <f t="shared" si="2"/>
        <v>0</v>
      </c>
      <c r="I25" s="211">
        <f t="shared" si="2"/>
        <v>0</v>
      </c>
      <c r="J25" s="211">
        <f t="shared" si="2"/>
        <v>0</v>
      </c>
      <c r="K25" s="211">
        <f>SUM(K20:K24)</f>
        <v>0</v>
      </c>
      <c r="L25" s="232"/>
      <c r="N25" s="191"/>
    </row>
    <row r="26" spans="3:14" ht="13.5" thickBot="1" x14ac:dyDescent="0.25">
      <c r="C26" s="218" t="s">
        <v>73</v>
      </c>
      <c r="D26" s="219">
        <f t="shared" ref="D26:L26" si="3">D18+D25</f>
        <v>0</v>
      </c>
      <c r="E26" s="219">
        <f t="shared" si="3"/>
        <v>0</v>
      </c>
      <c r="F26" s="219">
        <f t="shared" si="3"/>
        <v>0</v>
      </c>
      <c r="G26" s="219">
        <f t="shared" si="3"/>
        <v>0</v>
      </c>
      <c r="H26" s="219">
        <f t="shared" si="3"/>
        <v>0</v>
      </c>
      <c r="I26" s="219">
        <f t="shared" si="3"/>
        <v>0</v>
      </c>
      <c r="J26" s="219">
        <f t="shared" si="3"/>
        <v>0</v>
      </c>
      <c r="K26" s="219">
        <f t="shared" si="3"/>
        <v>0</v>
      </c>
      <c r="L26" s="219">
        <f t="shared" si="3"/>
        <v>0</v>
      </c>
      <c r="N26" s="191"/>
    </row>
    <row r="28" spans="3:14" x14ac:dyDescent="0.2">
      <c r="C28" s="306" t="s">
        <v>86</v>
      </c>
      <c r="D28" s="307"/>
      <c r="E28" s="307"/>
      <c r="F28" s="307"/>
      <c r="G28" s="307"/>
      <c r="H28" s="307"/>
      <c r="I28" s="307"/>
      <c r="J28" s="307"/>
      <c r="K28" s="307"/>
      <c r="L28" s="307"/>
    </row>
    <row r="29" spans="3:14" x14ac:dyDescent="0.2"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237" t="str">
        <f>IF(D25=SUM(E25:K25),"Richtig",FALSE)</f>
        <v>Richtig</v>
      </c>
    </row>
  </sheetData>
  <sheetProtection algorithmName="SHA-512" hashValue="YmOI7+tPBZY1He+EagdwjP/K1xgdmeuNtg47uwxvpOitHdob5q6HGt6ZcumZdv+EKvecyljBhCTU/ik2I6p/4g==" saltValue="AC+OLHpZKiMlB0TdFsQErg==" spinCount="100000" sheet="1" objects="1" scenarios="1" selectLockedCells="1"/>
  <mergeCells count="7">
    <mergeCell ref="C28:L29"/>
    <mergeCell ref="D7:D8"/>
    <mergeCell ref="C19:D19"/>
    <mergeCell ref="F1:H1"/>
    <mergeCell ref="D4:F4"/>
    <mergeCell ref="D5:F5"/>
    <mergeCell ref="B3:L3"/>
  </mergeCells>
  <pageMargins left="0.7" right="0.7" top="0.78740157499999996" bottom="0.78740157499999996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848C570F456C47B72DAA5EE8BB11A3" ma:contentTypeVersion="0" ma:contentTypeDescription="Ein neues Dokument erstellen." ma:contentTypeScope="" ma:versionID="50b022056faf3f260ff6500e8ea849af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4AC802-6241-4D1C-B339-F0EF63DD3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E4B3CD1-FBE5-4DC9-85A2-BFD15626180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ADC4F3-6B6F-4B28-AC04-66BAF136FBC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B2AF8F2-EB03-4164-9E73-F12DC2444D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AFP</vt:lpstr>
      <vt:lpstr>Anlage</vt:lpstr>
      <vt:lpstr>Anlage!Druckbereich</vt:lpstr>
    </vt:vector>
  </TitlesOfParts>
  <Company>LM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VI-300a</dc:creator>
  <cp:lastModifiedBy>StALU WM-IFh (Frau Gottlieb-Fiedler)</cp:lastModifiedBy>
  <cp:lastPrinted>2023-08-18T09:49:00Z</cp:lastPrinted>
  <dcterms:created xsi:type="dcterms:W3CDTF">2006-07-25T12:33:35Z</dcterms:created>
  <dcterms:modified xsi:type="dcterms:W3CDTF">2024-04-23T06:43:35Z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