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. Vorlagen\1111 Aktuelle Bearbeitung\"/>
    </mc:Choice>
  </mc:AlternateContent>
  <bookViews>
    <workbookView xWindow="96" yWindow="36" windowWidth="12012" windowHeight="5772"/>
  </bookViews>
  <sheets>
    <sheet name="AFP" sheetId="2" r:id="rId1"/>
    <sheet name="Anlage" sheetId="7" r:id="rId2"/>
  </sheets>
  <definedNames>
    <definedName name="_xlnm.Print_Area" localSheetId="1">Anlage!$A$1:$N$25</definedName>
    <definedName name="Z_100E8EDB_E068_4E9B_B519_239931047388_.wvu.PrintArea" localSheetId="1" hidden="1">Anlage!$A$1:$N$25</definedName>
  </definedNames>
  <calcPr calcId="162913"/>
  <customWorkbookViews>
    <customWorkbookView name="StALU WM-IFh (Frau Gottlieb-Fiedler) - Persönliche Ansicht" guid="{100E8EDB-E068-4E9B-B519-239931047388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N34" i="2" l="1"/>
  <c r="N32" i="2"/>
  <c r="D16" i="7" l="1"/>
  <c r="D4" i="7" l="1"/>
  <c r="D5" i="7"/>
  <c r="D24" i="7" l="1"/>
  <c r="K15" i="7"/>
  <c r="K16" i="7" s="1"/>
  <c r="K17" i="7" s="1"/>
  <c r="K25" i="7" s="1"/>
  <c r="J9" i="2" s="1"/>
  <c r="J14" i="7"/>
  <c r="J16" i="7" s="1"/>
  <c r="J17" i="7" s="1"/>
  <c r="I13" i="7"/>
  <c r="I16" i="7" s="1"/>
  <c r="I17" i="7" s="1"/>
  <c r="H12" i="7"/>
  <c r="H16" i="7" s="1"/>
  <c r="H17" i="7" s="1"/>
  <c r="G11" i="7"/>
  <c r="G16" i="7" s="1"/>
  <c r="G17" i="7" s="1"/>
  <c r="F10" i="7"/>
  <c r="F16" i="7" s="1"/>
  <c r="F17" i="7" s="1"/>
  <c r="E9" i="7"/>
  <c r="E16" i="7" s="1"/>
  <c r="E17" i="7" s="1"/>
  <c r="K1" i="7"/>
  <c r="D17" i="7" l="1"/>
  <c r="D25" i="7" s="1"/>
  <c r="H18" i="7" l="1"/>
  <c r="H19" i="7" s="1"/>
  <c r="J18" i="7"/>
  <c r="J23" i="7" s="1"/>
  <c r="E18" i="7"/>
  <c r="E20" i="7" s="1"/>
  <c r="I18" i="7"/>
  <c r="I20" i="7" s="1"/>
  <c r="G18" i="7"/>
  <c r="G19" i="7" s="1"/>
  <c r="F18" i="7"/>
  <c r="F20" i="7" s="1"/>
  <c r="H22" i="7" l="1"/>
  <c r="H20" i="7"/>
  <c r="H23" i="7"/>
  <c r="H21" i="7"/>
  <c r="H24" i="7" s="1"/>
  <c r="H25" i="7" s="1"/>
  <c r="G9" i="2" s="1"/>
  <c r="G12" i="2" s="1"/>
  <c r="E22" i="7"/>
  <c r="E23" i="7"/>
  <c r="E21" i="7"/>
  <c r="E19" i="7"/>
  <c r="F21" i="7"/>
  <c r="F19" i="7"/>
  <c r="G20" i="7"/>
  <c r="G23" i="7"/>
  <c r="G22" i="7"/>
  <c r="G21" i="7"/>
  <c r="J21" i="7"/>
  <c r="J19" i="7"/>
  <c r="J22" i="7"/>
  <c r="J20" i="7"/>
  <c r="I22" i="7"/>
  <c r="L18" i="7"/>
  <c r="M18" i="7" s="1"/>
  <c r="I19" i="7"/>
  <c r="I23" i="7"/>
  <c r="F23" i="7"/>
  <c r="I21" i="7"/>
  <c r="F22" i="7"/>
  <c r="E24" i="7" l="1"/>
  <c r="E25" i="7" s="1"/>
  <c r="D9" i="2" s="1"/>
  <c r="G24" i="7"/>
  <c r="G25" i="7" s="1"/>
  <c r="F9" i="2" s="1"/>
  <c r="F11" i="2" s="1"/>
  <c r="I24" i="7"/>
  <c r="I25" i="7" s="1"/>
  <c r="H9" i="2" s="1"/>
  <c r="H11" i="2" s="1"/>
  <c r="J24" i="7"/>
  <c r="J25" i="7" s="1"/>
  <c r="I9" i="2" s="1"/>
  <c r="F24" i="7"/>
  <c r="F25" i="7" s="1"/>
  <c r="E9" i="2" s="1"/>
  <c r="M28" i="7" l="1"/>
  <c r="D11" i="2"/>
  <c r="G11" i="2"/>
  <c r="H12" i="2" l="1"/>
  <c r="D12" i="2"/>
  <c r="F12" i="2"/>
  <c r="K9" i="2"/>
  <c r="O6" i="2" l="1"/>
  <c r="K18" i="2" l="1"/>
  <c r="I11" i="2"/>
  <c r="I12" i="2" s="1"/>
  <c r="K10" i="2"/>
  <c r="K12" i="2" l="1"/>
  <c r="K14" i="2" s="1"/>
  <c r="K11" i="2"/>
  <c r="K15" i="2" l="1"/>
  <c r="I15" i="2" l="1"/>
  <c r="H15" i="2" s="1"/>
  <c r="I16" i="2" l="1"/>
  <c r="I18" i="2" s="1"/>
  <c r="D15" i="2"/>
  <c r="F15" i="2" s="1"/>
  <c r="G15" i="2" s="1"/>
  <c r="H16" i="2"/>
  <c r="H18" i="2" l="1"/>
  <c r="H19" i="2" s="1"/>
  <c r="H20" i="2" s="1"/>
  <c r="D16" i="2"/>
  <c r="F16" i="2"/>
  <c r="D18" i="2" l="1"/>
  <c r="G16" i="2"/>
  <c r="I19" i="2"/>
  <c r="F18" i="2" l="1"/>
  <c r="G18" i="2" s="1"/>
  <c r="D19" i="2"/>
  <c r="E20" i="2" s="1"/>
  <c r="K16" i="2"/>
  <c r="J20" i="2"/>
  <c r="J24" i="2" s="1"/>
  <c r="I20" i="2"/>
  <c r="I24" i="2" s="1"/>
  <c r="H25" i="2"/>
  <c r="D20" i="2" l="1"/>
  <c r="D23" i="2" s="1"/>
  <c r="F19" i="2"/>
  <c r="F20" i="2" s="1"/>
  <c r="F22" i="2" s="1"/>
  <c r="K22" i="2" s="1"/>
  <c r="K25" i="2"/>
  <c r="K24" i="2"/>
  <c r="E23" i="2"/>
  <c r="G19" i="2" l="1"/>
  <c r="G20" i="2" s="1"/>
  <c r="G21" i="2" s="1"/>
  <c r="K21" i="2" s="1"/>
  <c r="K23" i="2"/>
  <c r="K20" i="2" l="1"/>
  <c r="O13" i="2" s="1"/>
  <c r="O14" i="2" s="1"/>
  <c r="O12" i="2" l="1"/>
  <c r="O15" i="2" l="1"/>
  <c r="O16" i="2" s="1"/>
  <c r="O21" i="2" l="1"/>
  <c r="O22" i="2" s="1"/>
  <c r="O23" i="2" s="1"/>
  <c r="O26" i="2" s="1"/>
  <c r="K27" i="2" s="1"/>
  <c r="K32" i="2" s="1"/>
  <c r="O17" i="2"/>
  <c r="K26" i="2" s="1"/>
  <c r="K31" i="2" l="1"/>
  <c r="K28" i="2"/>
  <c r="K29" i="2" s="1"/>
  <c r="K33" i="2"/>
  <c r="K34" i="2" s="1"/>
  <c r="K35" i="2" l="1"/>
  <c r="K36" i="2" s="1"/>
  <c r="K30" i="2" s="1"/>
  <c r="K37" i="2" l="1"/>
</calcChain>
</file>

<file path=xl/comments1.xml><?xml version="1.0" encoding="utf-8"?>
<comments xmlns="http://schemas.openxmlformats.org/spreadsheetml/2006/main">
  <authors>
    <author>StALU WM-IFb (Herr Klevenow)</author>
    <author>VI-300a</author>
    <author>staluwm-22</author>
    <author>StALUWM-22b</author>
    <author>staluwm-22b</author>
  </authors>
  <commentList>
    <comment ref="B9" authorId="0" shapeId="0">
      <text>
        <r>
          <rPr>
            <sz val="9"/>
            <color indexed="81"/>
            <rFont val="Segoe UI"/>
            <family val="2"/>
          </rPr>
          <t xml:space="preserve">ff. Ausgaben für die Errichtung oder Modernisierung von unbeweglichen Vermögen, Kauf von neuen Maschinen und  Anlagen der Innenwirtschaft, Architekten-u. Ingenieurleistungen </t>
        </r>
      </text>
    </comment>
    <comment ref="B13" authorId="1" shapeId="0">
      <text>
        <r>
          <rPr>
            <sz val="8"/>
            <color indexed="81"/>
            <rFont val="Tahoma"/>
            <family val="2"/>
          </rPr>
          <t xml:space="preserve">ab 2023 </t>
        </r>
        <r>
          <rPr>
            <sz val="10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 Anspruch genommenes zuwendungsfähiges Investitionsvolumen </t>
        </r>
        <r>
          <rPr>
            <b/>
            <sz val="9"/>
            <color indexed="81"/>
            <rFont val="Tahoma"/>
            <family val="2"/>
          </rPr>
          <t>plus zuwendungsfähige Betreuungsgebühren</t>
        </r>
        <r>
          <rPr>
            <sz val="9"/>
            <color indexed="81"/>
            <rFont val="Tahoma"/>
            <family val="2"/>
          </rPr>
          <t xml:space="preserve"> (Zuschuss Betreuung X 100 : 60</t>
        </r>
        <r>
          <rPr>
            <sz val="10"/>
            <color indexed="81"/>
            <rFont val="Tahoma"/>
            <family val="2"/>
          </rPr>
          <t xml:space="preserve">) </t>
        </r>
      </text>
    </comment>
    <comment ref="M15" authorId="2" shapeId="0">
      <text>
        <r>
          <rPr>
            <b/>
            <sz val="9"/>
            <color indexed="81"/>
            <rFont val="Tahoma"/>
            <family val="2"/>
          </rPr>
          <t xml:space="preserve">Sockelbetrag = 6.000 € </t>
        </r>
        <r>
          <rPr>
            <sz val="9"/>
            <color indexed="81"/>
            <rFont val="Tahoma"/>
            <family val="2"/>
          </rPr>
          <t xml:space="preserve">bei einem zuwendungsfähigen
 baulichen Investitionsvolumen größer 100.000 € und kleiner 200.000 € bei Ausgaben für Betreuung von mindestens 6.000 € Netto,
</t>
        </r>
        <r>
          <rPr>
            <b/>
            <sz val="9"/>
            <color indexed="81"/>
            <rFont val="Tahoma"/>
            <family val="2"/>
          </rPr>
          <t>Höchstbetrag = 20.000 €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17" authorId="3" shapeId="0">
      <text>
        <r>
          <rPr>
            <sz val="9"/>
            <color indexed="81"/>
            <rFont val="Tahoma"/>
            <family val="2"/>
          </rPr>
          <t>ab 2023
 in Anspruch genommenes zuwendungsfähiges Investitionsvolumen plus zuwendungsfähige Betreuungs
gebühren (Zuschuss Betreuung X 100 : 60</t>
        </r>
        <r>
          <rPr>
            <sz val="10"/>
            <color indexed="81"/>
            <rFont val="Tahoma"/>
            <family val="2"/>
          </rPr>
          <t>)</t>
        </r>
      </text>
    </comment>
    <comment ref="M17" authorId="4" shapeId="0">
      <text>
        <r>
          <rPr>
            <sz val="9"/>
            <color indexed="81"/>
            <rFont val="Tahoma"/>
            <family val="2"/>
          </rPr>
          <t>60 % von den zuwendungsfähigen Nettoausgaben für Betreuung max. 12.000 €</t>
        </r>
      </text>
    </comment>
    <comment ref="M24" authorId="2" shapeId="0">
      <text>
        <r>
          <rPr>
            <sz val="9"/>
            <color indexed="81"/>
            <rFont val="Tahoma"/>
            <family val="2"/>
          </rPr>
          <t>&lt; 41 Jahre</t>
        </r>
      </text>
    </comment>
    <comment ref="B29" authorId="4" shapeId="0">
      <text>
        <r>
          <rPr>
            <sz val="9"/>
            <color indexed="81"/>
            <rFont val="Tahoma"/>
            <family val="2"/>
          </rPr>
          <t xml:space="preserve">Der Gesamtwert der gewährten Zwendung darf 65 % der ff. Ausgaben (Errichtung oder Modernisierung von unbeweglichen Vermögen, Kauf von neuen Maschinen und Anlagen der Innenwirtschaft, Architekten-u. Ingenieurleistungen </t>
        </r>
        <r>
          <rPr>
            <b/>
            <sz val="9"/>
            <color indexed="81"/>
            <rFont val="Tahoma"/>
            <family val="2"/>
          </rPr>
          <t>Berater- und Betreuungsleistungen</t>
        </r>
        <r>
          <rPr>
            <sz val="9"/>
            <color indexed="81"/>
            <rFont val="Tahoma"/>
            <family val="2"/>
          </rPr>
          <t xml:space="preserve">) nicht überschreiten. Aber je Unternehmen max. 1.000.000 Euro Zuschuss in den Jahren 2023 bis 2027.
</t>
        </r>
      </text>
    </comment>
  </commentList>
</comments>
</file>

<file path=xl/sharedStrings.xml><?xml version="1.0" encoding="utf-8"?>
<sst xmlns="http://schemas.openxmlformats.org/spreadsheetml/2006/main" count="106" uniqueCount="93">
  <si>
    <t>Zuschuss für Betreuung</t>
  </si>
  <si>
    <t>Summe</t>
  </si>
  <si>
    <t xml:space="preserve">Datum: </t>
  </si>
  <si>
    <t>Werte bitte nur in gelbe Felder eintragen</t>
  </si>
  <si>
    <t>Nettoausgaben für Betreuung</t>
  </si>
  <si>
    <t xml:space="preserve">ggf. Kürzung Obergrenze </t>
  </si>
  <si>
    <t>Kontrolle Obergrenze nach Anrechnung</t>
  </si>
  <si>
    <t>ggf. Kürzung  nach Anrechnung Obergrenze</t>
  </si>
  <si>
    <t>ggf. Kürzung  nach Anrechnung Beteiligungen</t>
  </si>
  <si>
    <t xml:space="preserve">Zuschuss Betreuung </t>
  </si>
  <si>
    <t>Alter des Antragstellers</t>
  </si>
  <si>
    <t>Zuschuss Junglandwirt</t>
  </si>
  <si>
    <t>Az:</t>
  </si>
  <si>
    <t>beantragter Zuschuss:</t>
  </si>
  <si>
    <t>Summe Zuschuss</t>
  </si>
  <si>
    <t>Zwischensumme Zuschuss</t>
  </si>
  <si>
    <t>Zuwendungsempfänger (ZWE):</t>
  </si>
  <si>
    <t>Zwischensumme</t>
  </si>
  <si>
    <t xml:space="preserve"> -5411.72</t>
  </si>
  <si>
    <t>Lfd. Nr.</t>
  </si>
  <si>
    <t xml:space="preserve">40 % Zuschuss </t>
  </si>
  <si>
    <t xml:space="preserve">30 % Zuschuss </t>
  </si>
  <si>
    <t xml:space="preserve">40 % Zuschuss  </t>
  </si>
  <si>
    <t>50 % Zuschuss</t>
  </si>
  <si>
    <t>Bemessungsgrundlage ohne Aufwendungen für Baugenehmigung und Betreuung</t>
  </si>
  <si>
    <t>1. Berechnung der Zuwendung</t>
  </si>
  <si>
    <t>Aufwendungen für Beratung bei nichtbetreuungspflichtigen Maßnahmen (netto)</t>
  </si>
  <si>
    <t>bauliches zuwendungsfähiges Investitionsvolumen</t>
  </si>
  <si>
    <t xml:space="preserve">zuwendungsfähiges Investitionsvolumen </t>
  </si>
  <si>
    <t>zuwendungsfähiges Investitionsvolumen</t>
  </si>
  <si>
    <r>
      <t xml:space="preserve">Anrechnung des </t>
    </r>
    <r>
      <rPr>
        <u/>
        <sz val="9"/>
        <rFont val="Arial"/>
        <family val="2"/>
      </rPr>
      <t>verbrauchten</t>
    </r>
    <r>
      <rPr>
        <sz val="9"/>
        <rFont val="Arial"/>
        <family val="2"/>
      </rPr>
      <t xml:space="preserve"> zuwendungsfähigen Investitionsvolumen des Zuwendungsempfängers und dessen Beteiligungen an anderen Unternehmen (siehe Kommentar)</t>
    </r>
  </si>
  <si>
    <r>
      <rPr>
        <u/>
        <sz val="9"/>
        <rFont val="Arial"/>
        <family val="2"/>
      </rPr>
      <t>anrechenbares</t>
    </r>
    <r>
      <rPr>
        <sz val="9"/>
        <rFont val="Arial"/>
        <family val="2"/>
      </rPr>
      <t xml:space="preserve"> zuwendungsfähige Investitionsvolumen der Gesellschafter wegen Beteiligungen am Zuwendungsempfänger und an anderen Unternehmen (siehe Kommentar)</t>
    </r>
  </si>
  <si>
    <t>Zwischensumme max. zuwendungsfähiges Investitionsvolumen</t>
  </si>
  <si>
    <t>65 % Zuschuss</t>
  </si>
  <si>
    <t>Premiumförderung / Frostschutz-beregnung, Hagelschutz und Starkregen</t>
  </si>
  <si>
    <t>verbrauchter Zuschuss ab 2023</t>
  </si>
  <si>
    <t>Datum</t>
  </si>
  <si>
    <t>StALU WM</t>
  </si>
  <si>
    <t>Zuwendungsempfänger:</t>
  </si>
  <si>
    <t>Zuschussarten</t>
  </si>
  <si>
    <t>prozentualer Anteil an der Gesamtinvestition ohne Maschinen</t>
  </si>
  <si>
    <t>Architekten- und Ingenieurleistungen</t>
  </si>
  <si>
    <t>Zwischensumme A.u.I.-Leistungen</t>
  </si>
  <si>
    <t>Gesamtsumme</t>
  </si>
  <si>
    <r>
      <rPr>
        <sz val="10"/>
        <rFont val="Arial"/>
        <family val="2"/>
      </rPr>
      <t xml:space="preserve">Summe der zuwendungs- fähigen Ausgaben gemäß Antrag </t>
    </r>
    <r>
      <rPr>
        <b/>
        <sz val="10"/>
        <color rgb="FFFF0000"/>
        <rFont val="Arial"/>
        <family val="2"/>
      </rPr>
      <t>ohne</t>
    </r>
    <r>
      <rPr>
        <sz val="10"/>
        <rFont val="Arial"/>
        <family val="2"/>
      </rPr>
      <t xml:space="preserve"> A.u.I.-Leistungen</t>
    </r>
  </si>
  <si>
    <t>zuwendungs- fähige Ausgaben ohne A.u.I.-Leistungen</t>
  </si>
  <si>
    <t>Ermittlung der zuwendungsfähigen Ausgaben zur Bewilligung nach den einzelnen Zuschussarten und Aufteilung der zuwendungsfähigen Architekten- und Ingenieurleistungen (A.u.I.-Leistungen)</t>
  </si>
  <si>
    <t xml:space="preserve">                     Az:</t>
  </si>
  <si>
    <t>Hinweis: Die Aufteilung der Architekten- und Ingenieurkosten bzw. Nebenkosten ist auch manuell möglich, in dem die Ausgaben in den blauen Felder überschrieben werden.
             Bei der korrekten manuellen Aufteilung (Zelle D25 = Summe der Zellen E25 bis K25) wird ein "Richtig" im folgenden Kontrollfeld angezeigt:</t>
  </si>
  <si>
    <t>Vorförderung Junglandwirt ab 2023</t>
  </si>
  <si>
    <t>10 % des zuwdungsf. Invest. Vol.</t>
  </si>
  <si>
    <t xml:space="preserve">Minimum </t>
  </si>
  <si>
    <t xml:space="preserve">Investiitonen nach Nr. 5.2.7 65 % </t>
  </si>
  <si>
    <t>Investitionen nach Nr. 5.2.5    20 %</t>
  </si>
  <si>
    <t>spezifische Investitionen zum Umwelt und Klimaschutz gemäß Anlage 2 Teil B Nr. 2.2, Nr. 2.3 und 
Nr. 3</t>
  </si>
  <si>
    <t xml:space="preserve">Kombination Premiumförderung mit Maßnahmen zur Emissionsmin-derung in Stallbau-ten gem. Anlage 2 Teil B Nr. 1.2 bis 1.6 </t>
  </si>
  <si>
    <t>nichtproduktive Maßnahmen zur Emissionsmin-derung gemäß Anlage 2 Teil B Nr. 1.1 und Nr. 2.1</t>
  </si>
  <si>
    <t>Maschinen der Innenwirt- schaft nach Nr. 5.3 b und Maschinen d. Außenwirt-
schaft gem. Anlage 2 
Teil A</t>
  </si>
  <si>
    <t>spezifische Investitionen zum Umwelt und Klimaschutz gemäß Anlage 2 Teil B Nr. 2.2, Nr. 2.3 und Nr. 3</t>
  </si>
  <si>
    <t>Kombination Premiumförderung mit Maßnahmen zur Emissionsmin-derung in Stallbau-ten gem. Anlage 2 Teil B Nr. 1.2 bis 1.6</t>
  </si>
  <si>
    <t>nichtproduktive Maßnahmen zur Emissionsmin-derung gemäß Anlage 2 Teil B Nr. 1.1 und Nr. 3</t>
  </si>
  <si>
    <t>3. Berechnung Junglandwirtzuschuss nach Nr. 5.2.8</t>
  </si>
  <si>
    <t>sonstige Investitionen (z.B. Fahrsilo, Melksysteme u.a.)</t>
  </si>
  <si>
    <t>Investitionen nach Nr. 5.2.5 und nach Nr. 5.2.3  
20 %</t>
  </si>
  <si>
    <t>Maschinen der Innenwirtschaft nach Nr. 5.3 b und Maschinen der Außenwirtschaft nach Anlage 2 Teil A</t>
  </si>
  <si>
    <t>Investitionen nach Nr. 5.2.4
30 %</t>
  </si>
  <si>
    <t>Bewässerungs-anlagen</t>
  </si>
  <si>
    <r>
      <t xml:space="preserve">Investitionen nach Nr. 5.2.4 30 % </t>
    </r>
    <r>
      <rPr>
        <strike/>
        <sz val="8"/>
        <color rgb="FFFF0000"/>
        <rFont val="Arial"/>
        <family val="2"/>
      </rPr>
      <t xml:space="preserve">
</t>
    </r>
  </si>
  <si>
    <t xml:space="preserve">Bewässerung
</t>
  </si>
  <si>
    <t>Investitionen nach 
Nr. 5.2.5 (sonstige Investitionen) und nach 
Nr. 5.2.3      
20 %</t>
  </si>
  <si>
    <t>Investitionen nach Nr. 5.2.2 
40 %</t>
  </si>
  <si>
    <t xml:space="preserve">Investiitonen nach Nr. 5.2.7 
65 % </t>
  </si>
  <si>
    <t xml:space="preserve">20 % Zuschuss </t>
  </si>
  <si>
    <t>Prüfung Obergrenze gemäß Nr. 5.2.12 der Richtlinie</t>
  </si>
  <si>
    <t>Investitionen nach Nr. 5.2.1 
40 %</t>
  </si>
  <si>
    <r>
      <rPr>
        <b/>
        <sz val="9"/>
        <rFont val="Arial"/>
        <family val="2"/>
      </rPr>
      <t>Investitionen nach Nr. 5.2.6 und 5.2.11 (bis 31.08.2026)</t>
    </r>
    <r>
      <rPr>
        <b/>
        <sz val="9"/>
        <color rgb="FFFF0000"/>
        <rFont val="Arial"/>
        <family val="2"/>
      </rPr>
      <t xml:space="preserve">
</t>
    </r>
    <r>
      <rPr>
        <b/>
        <sz val="9"/>
        <rFont val="Arial"/>
        <family val="2"/>
      </rPr>
      <t xml:space="preserve">50 % </t>
    </r>
  </si>
  <si>
    <t>Investitionen nach Nr. 5.2.1 40 %</t>
  </si>
  <si>
    <t>Investitionen nach Nr. 5.2.2 40 %</t>
  </si>
  <si>
    <r>
      <t>Investitionen nach Nr. 5.2.6 und 5.2.11</t>
    </r>
    <r>
      <rPr>
        <sz val="8"/>
        <rFont val="Arial"/>
        <family val="2"/>
      </rPr>
      <t xml:space="preserve"> (bis 31.08.2026) 
</t>
    </r>
    <r>
      <rPr>
        <sz val="10"/>
        <rFont val="Arial"/>
        <family val="2"/>
      </rPr>
      <t xml:space="preserve">50 % </t>
    </r>
  </si>
  <si>
    <t>Nr. 5.2.1   40 %</t>
  </si>
  <si>
    <t xml:space="preserve">Nr. 5.2.2   40 %
</t>
  </si>
  <si>
    <t xml:space="preserve">Nr. 5.2.7   65 % </t>
  </si>
  <si>
    <t>Nr. 5.2.4   30 %</t>
  </si>
  <si>
    <t xml:space="preserve">Nr. 5.2.5   20 %
</t>
  </si>
  <si>
    <t xml:space="preserve">Nr. 5.2.6 u. 
5.2.11     50% </t>
  </si>
  <si>
    <r>
      <rPr>
        <sz val="10"/>
        <rFont val="Arial"/>
        <family val="2"/>
      </rPr>
      <t>Nr. 5.2.5 u. 
5.2.3         20 %</t>
    </r>
    <r>
      <rPr>
        <sz val="8"/>
        <rFont val="Arial"/>
        <family val="2"/>
      </rPr>
      <t xml:space="preserve">
</t>
    </r>
  </si>
  <si>
    <t>AFP- Berechnungsbogen nach Verwendungsnachweisprüfung gemäß der AFP-RL M-V (ab 01.01.2026)</t>
  </si>
  <si>
    <r>
      <t xml:space="preserve">zuwendungsfähige Ausgaben (netto, </t>
    </r>
    <r>
      <rPr>
        <sz val="9"/>
        <color rgb="FFFF0000"/>
        <rFont val="Arial"/>
        <family val="2"/>
      </rPr>
      <t>jedoch nicht mehr als bewilligt</t>
    </r>
    <r>
      <rPr>
        <sz val="9"/>
        <rFont val="Arial"/>
        <family val="2"/>
      </rPr>
      <t xml:space="preserve">) nach Nr. 5.2 ohne Betreuung sowie allg. Aufwendungen für Beratung bei nicht betreuungspflichtigen Maßnahmen </t>
    </r>
  </si>
  <si>
    <t>auszuzahlender Zuschuss nach Prüfung Obergrenze max. 1 Mio. €</t>
  </si>
  <si>
    <t>zuwendungsfähige Betreuungsgebühren</t>
  </si>
  <si>
    <t>Zwischensumme zuwendungsfähige Betreuungsgebühren</t>
  </si>
  <si>
    <t>2. Berechnung Betreuungsgebühren nach Nr. 5.2.9</t>
  </si>
  <si>
    <t>StALU WM Stand: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</si>
</sst>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name val="Arial"/>
      <family val="2"/>
    </font>
    <font>
      <sz val="9"/>
      <color indexed="81"/>
      <name val="Segoe UI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 tint="0.499984740745262"/>
      <name val="Arial"/>
      <family val="2"/>
    </font>
    <font>
      <b/>
      <sz val="10"/>
      <color theme="0" tint="-0.14999847407452621"/>
      <name val="Arial"/>
      <family val="2"/>
    </font>
    <font>
      <strike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trike/>
      <sz val="8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Protection="1"/>
    <xf numFmtId="0" fontId="5" fillId="0" borderId="0" xfId="0" applyFont="1" applyProtection="1"/>
    <xf numFmtId="3" fontId="0" fillId="0" borderId="0" xfId="0" applyNumberFormat="1" applyProtection="1"/>
    <xf numFmtId="0" fontId="0" fillId="3" borderId="3" xfId="0" applyFill="1" applyBorder="1" applyProtection="1"/>
    <xf numFmtId="0" fontId="2" fillId="3" borderId="4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9" fontId="7" fillId="5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Border="1" applyProtection="1"/>
    <xf numFmtId="49" fontId="7" fillId="0" borderId="1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49" fontId="7" fillId="0" borderId="2" xfId="0" applyNumberFormat="1" applyFont="1" applyFill="1" applyBorder="1" applyProtection="1"/>
    <xf numFmtId="49" fontId="8" fillId="0" borderId="1" xfId="0" applyNumberFormat="1" applyFont="1" applyBorder="1" applyProtection="1"/>
    <xf numFmtId="49" fontId="8" fillId="0" borderId="1" xfId="0" applyNumberFormat="1" applyFont="1" applyFill="1" applyBorder="1" applyProtection="1"/>
    <xf numFmtId="0" fontId="8" fillId="0" borderId="1" xfId="0" applyFont="1" applyBorder="1" applyAlignment="1" applyProtection="1">
      <alignment horizontal="left"/>
    </xf>
    <xf numFmtId="49" fontId="7" fillId="6" borderId="2" xfId="0" applyNumberFormat="1" applyFont="1" applyFill="1" applyBorder="1" applyAlignment="1" applyProtection="1">
      <alignment vertical="center" wrapText="1"/>
    </xf>
    <xf numFmtId="49" fontId="7" fillId="6" borderId="1" xfId="0" applyNumberFormat="1" applyFont="1" applyFill="1" applyBorder="1" applyProtection="1"/>
    <xf numFmtId="49" fontId="6" fillId="6" borderId="1" xfId="0" applyNumberFormat="1" applyFont="1" applyFill="1" applyBorder="1" applyProtection="1"/>
    <xf numFmtId="49" fontId="7" fillId="6" borderId="1" xfId="0" applyNumberFormat="1" applyFont="1" applyFill="1" applyBorder="1" applyAlignment="1" applyProtection="1">
      <alignment vertical="center" wrapText="1"/>
    </xf>
    <xf numFmtId="49" fontId="8" fillId="6" borderId="1" xfId="0" applyNumberFormat="1" applyFont="1" applyFill="1" applyBorder="1" applyProtection="1"/>
    <xf numFmtId="0" fontId="8" fillId="6" borderId="1" xfId="0" applyFont="1" applyFill="1" applyBorder="1" applyAlignment="1" applyProtection="1">
      <alignment horizontal="left"/>
    </xf>
    <xf numFmtId="49" fontId="7" fillId="0" borderId="19" xfId="0" applyNumberFormat="1" applyFont="1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27" xfId="0" applyBorder="1" applyProtection="1"/>
    <xf numFmtId="0" fontId="1" fillId="0" borderId="0" xfId="0" applyFont="1" applyProtection="1"/>
    <xf numFmtId="49" fontId="7" fillId="5" borderId="2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/>
    </xf>
    <xf numFmtId="0" fontId="6" fillId="4" borderId="5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7" xfId="0" applyFont="1" applyFill="1" applyBorder="1" applyProtection="1"/>
    <xf numFmtId="49" fontId="8" fillId="6" borderId="1" xfId="0" applyNumberFormat="1" applyFont="1" applyFill="1" applyBorder="1" applyAlignment="1" applyProtection="1">
      <alignment vertical="center"/>
    </xf>
    <xf numFmtId="49" fontId="7" fillId="5" borderId="1" xfId="0" applyNumberFormat="1" applyFont="1" applyFill="1" applyBorder="1" applyAlignment="1" applyProtection="1">
      <alignment wrapText="1"/>
    </xf>
    <xf numFmtId="49" fontId="7" fillId="6" borderId="1" xfId="0" applyNumberFormat="1" applyFont="1" applyFill="1" applyBorder="1" applyAlignment="1" applyProtection="1">
      <alignment wrapText="1"/>
    </xf>
    <xf numFmtId="0" fontId="7" fillId="0" borderId="0" xfId="0" applyFont="1" applyProtection="1"/>
    <xf numFmtId="0" fontId="7" fillId="0" borderId="0" xfId="0" applyFont="1" applyBorder="1" applyProtection="1"/>
    <xf numFmtId="0" fontId="7" fillId="0" borderId="0" xfId="0" applyFont="1" applyFill="1" applyProtection="1"/>
    <xf numFmtId="49" fontId="7" fillId="2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right"/>
    </xf>
    <xf numFmtId="0" fontId="6" fillId="4" borderId="22" xfId="0" applyFont="1" applyFill="1" applyBorder="1" applyAlignment="1" applyProtection="1">
      <alignment textRotation="90"/>
    </xf>
    <xf numFmtId="0" fontId="6" fillId="4" borderId="5" xfId="0" applyFont="1" applyFill="1" applyBorder="1" applyAlignment="1" applyProtection="1">
      <alignment horizontal="center" vertical="top"/>
    </xf>
    <xf numFmtId="0" fontId="6" fillId="0" borderId="6" xfId="0" applyFont="1" applyFill="1" applyBorder="1" applyAlignment="1" applyProtection="1">
      <alignment horizontal="center"/>
    </xf>
    <xf numFmtId="0" fontId="7" fillId="6" borderId="18" xfId="0" applyFont="1" applyFill="1" applyBorder="1" applyProtection="1"/>
    <xf numFmtId="0" fontId="6" fillId="0" borderId="17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/>
    <xf numFmtId="0" fontId="7" fillId="6" borderId="17" xfId="0" applyFont="1" applyFill="1" applyBorder="1" applyAlignment="1" applyProtection="1"/>
    <xf numFmtId="0" fontId="7" fillId="6" borderId="25" xfId="0" applyFont="1" applyFill="1" applyBorder="1" applyProtection="1"/>
    <xf numFmtId="0" fontId="6" fillId="4" borderId="26" xfId="0" applyFont="1" applyFill="1" applyBorder="1" applyAlignment="1" applyProtection="1">
      <alignment horizontal="center" vertical="top"/>
    </xf>
    <xf numFmtId="0" fontId="6" fillId="0" borderId="27" xfId="0" applyFont="1" applyFill="1" applyBorder="1" applyAlignment="1" applyProtection="1">
      <alignment horizontal="center"/>
    </xf>
    <xf numFmtId="0" fontId="7" fillId="6" borderId="15" xfId="0" applyFont="1" applyFill="1" applyBorder="1" applyAlignment="1" applyProtection="1"/>
    <xf numFmtId="0" fontId="7" fillId="6" borderId="27" xfId="0" applyFont="1" applyFill="1" applyBorder="1" applyAlignment="1" applyProtection="1"/>
    <xf numFmtId="0" fontId="7" fillId="4" borderId="7" xfId="0" applyFont="1" applyFill="1" applyBorder="1" applyAlignment="1" applyProtection="1">
      <alignment vertical="center" wrapText="1"/>
    </xf>
    <xf numFmtId="4" fontId="7" fillId="5" borderId="2" xfId="0" applyNumberFormat="1" applyFont="1" applyFill="1" applyBorder="1" applyAlignment="1" applyProtection="1">
      <alignment vertical="center" wrapText="1"/>
      <protection locked="0"/>
    </xf>
    <xf numFmtId="4" fontId="7" fillId="5" borderId="34" xfId="0" applyNumberFormat="1" applyFont="1" applyFill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4" fontId="7" fillId="5" borderId="2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vertical="center"/>
    </xf>
    <xf numFmtId="49" fontId="7" fillId="6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29" xfId="0" applyNumberFormat="1" applyFont="1" applyFill="1" applyBorder="1" applyAlignment="1" applyProtection="1">
      <alignment vertical="center" wrapText="1"/>
    </xf>
    <xf numFmtId="4" fontId="7" fillId="0" borderId="1" xfId="0" applyNumberFormat="1" applyFont="1" applyBorder="1" applyProtection="1"/>
    <xf numFmtId="4" fontId="7" fillId="6" borderId="1" xfId="0" applyNumberFormat="1" applyFont="1" applyFill="1" applyBorder="1" applyAlignment="1" applyProtection="1">
      <alignment horizontal="right" wrapText="1"/>
    </xf>
    <xf numFmtId="4" fontId="7" fillId="5" borderId="1" xfId="0" applyNumberFormat="1" applyFont="1" applyFill="1" applyBorder="1" applyAlignment="1" applyProtection="1">
      <alignment vertical="center" wrapText="1"/>
      <protection locked="0"/>
    </xf>
    <xf numFmtId="4" fontId="7" fillId="0" borderId="29" xfId="0" applyNumberFormat="1" applyFont="1" applyFill="1" applyBorder="1" applyAlignment="1" applyProtection="1">
      <alignment horizontal="right" vertical="center" wrapText="1"/>
    </xf>
    <xf numFmtId="4" fontId="7" fillId="6" borderId="1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/>
    <xf numFmtId="4" fontId="7" fillId="0" borderId="17" xfId="0" applyNumberFormat="1" applyFont="1" applyBorder="1" applyAlignment="1" applyProtection="1">
      <alignment horizontal="right"/>
    </xf>
    <xf numFmtId="4" fontId="7" fillId="6" borderId="1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Border="1" applyProtection="1"/>
    <xf numFmtId="4" fontId="7" fillId="0" borderId="1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 wrapText="1"/>
    </xf>
    <xf numFmtId="3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4" fontId="7" fillId="0" borderId="16" xfId="0" applyNumberFormat="1" applyFont="1" applyBorder="1" applyProtection="1"/>
    <xf numFmtId="4" fontId="8" fillId="0" borderId="1" xfId="0" applyNumberFormat="1" applyFont="1" applyBorder="1" applyProtection="1"/>
    <xf numFmtId="4" fontId="8" fillId="0" borderId="1" xfId="0" applyNumberFormat="1" applyFont="1" applyFill="1" applyBorder="1" applyProtection="1"/>
    <xf numFmtId="3" fontId="6" fillId="0" borderId="12" xfId="0" applyNumberFormat="1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/>
    <xf numFmtId="4" fontId="9" fillId="0" borderId="13" xfId="0" applyNumberFormat="1" applyFont="1" applyBorder="1" applyAlignment="1" applyProtection="1">
      <alignment horizontal="center"/>
    </xf>
    <xf numFmtId="4" fontId="6" fillId="7" borderId="2" xfId="0" applyNumberFormat="1" applyFont="1" applyFill="1" applyBorder="1" applyAlignment="1" applyProtection="1">
      <alignment horizontal="right"/>
    </xf>
    <xf numFmtId="0" fontId="6" fillId="0" borderId="0" xfId="0" applyFont="1" applyBorder="1" applyProtection="1"/>
    <xf numFmtId="4" fontId="6" fillId="0" borderId="1" xfId="0" applyNumberFormat="1" applyFont="1" applyBorder="1" applyAlignment="1" applyProtection="1">
      <alignment horizontal="right"/>
    </xf>
    <xf numFmtId="4" fontId="6" fillId="0" borderId="19" xfId="0" applyNumberFormat="1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6" xfId="0" applyFont="1" applyBorder="1" applyProtection="1"/>
    <xf numFmtId="4" fontId="6" fillId="0" borderId="26" xfId="0" applyNumberFormat="1" applyFont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vertical="center" wrapText="1"/>
    </xf>
    <xf numFmtId="0" fontId="0" fillId="0" borderId="17" xfId="0" applyBorder="1" applyProtection="1"/>
    <xf numFmtId="49" fontId="6" fillId="0" borderId="1" xfId="0" applyNumberFormat="1" applyFont="1" applyBorder="1" applyAlignment="1" applyProtection="1">
      <alignment wrapText="1"/>
    </xf>
    <xf numFmtId="0" fontId="7" fillId="0" borderId="30" xfId="0" applyFont="1" applyBorder="1" applyProtection="1"/>
    <xf numFmtId="0" fontId="7" fillId="0" borderId="0" xfId="0" applyFont="1" applyBorder="1" applyAlignment="1" applyProtection="1">
      <alignment horizontal="right" vertical="center"/>
    </xf>
    <xf numFmtId="3" fontId="7" fillId="5" borderId="29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vertical="center"/>
    </xf>
    <xf numFmtId="4" fontId="6" fillId="0" borderId="16" xfId="0" applyNumberFormat="1" applyFont="1" applyBorder="1" applyAlignment="1" applyProtection="1">
      <alignment vertical="center"/>
    </xf>
    <xf numFmtId="14" fontId="7" fillId="6" borderId="17" xfId="0" applyNumberFormat="1" applyFont="1" applyFill="1" applyBorder="1" applyAlignment="1" applyProtection="1">
      <alignment horizontal="center" vertical="top"/>
    </xf>
    <xf numFmtId="0" fontId="6" fillId="6" borderId="23" xfId="0" applyFont="1" applyFill="1" applyBorder="1" applyAlignment="1" applyProtection="1">
      <alignment vertical="center"/>
    </xf>
    <xf numFmtId="0" fontId="6" fillId="6" borderId="28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horizontal="right"/>
    </xf>
    <xf numFmtId="0" fontId="16" fillId="0" borderId="17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vertical="center"/>
    </xf>
    <xf numFmtId="49" fontId="7" fillId="6" borderId="1" xfId="0" applyNumberFormat="1" applyFont="1" applyFill="1" applyBorder="1" applyAlignment="1" applyProtection="1">
      <alignment vertical="center"/>
    </xf>
    <xf numFmtId="4" fontId="7" fillId="6" borderId="1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vertical="center" wrapText="1"/>
    </xf>
    <xf numFmtId="49" fontId="7" fillId="2" borderId="0" xfId="0" applyNumberFormat="1" applyFont="1" applyFill="1" applyBorder="1" applyAlignment="1" applyProtection="1"/>
    <xf numFmtId="49" fontId="7" fillId="2" borderId="17" xfId="0" applyNumberFormat="1" applyFont="1" applyFill="1" applyBorder="1" applyAlignment="1" applyProtection="1"/>
    <xf numFmtId="49" fontId="6" fillId="0" borderId="1" xfId="0" applyNumberFormat="1" applyFont="1" applyBorder="1" applyAlignment="1" applyProtection="1">
      <alignment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4" fontId="7" fillId="0" borderId="29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4" fontId="7" fillId="0" borderId="9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/>
    <xf numFmtId="49" fontId="7" fillId="0" borderId="1" xfId="0" applyNumberFormat="1" applyFont="1" applyBorder="1" applyAlignment="1" applyProtection="1">
      <alignment wrapText="1"/>
    </xf>
    <xf numFmtId="0" fontId="7" fillId="4" borderId="9" xfId="0" applyFont="1" applyFill="1" applyBorder="1" applyAlignment="1" applyProtection="1">
      <alignment vertical="center"/>
    </xf>
    <xf numFmtId="4" fontId="7" fillId="6" borderId="9" xfId="0" applyNumberFormat="1" applyFont="1" applyFill="1" applyBorder="1" applyAlignment="1" applyProtection="1">
      <alignment horizontal="right" wrapText="1"/>
    </xf>
    <xf numFmtId="4" fontId="7" fillId="6" borderId="9" xfId="0" applyNumberFormat="1" applyFont="1" applyFill="1" applyBorder="1" applyAlignment="1" applyProtection="1">
      <alignment horizontal="right" vertical="center"/>
    </xf>
    <xf numFmtId="4" fontId="7" fillId="6" borderId="9" xfId="0" applyNumberFormat="1" applyFont="1" applyFill="1" applyBorder="1" applyAlignment="1" applyProtection="1">
      <alignment horizontal="right"/>
    </xf>
    <xf numFmtId="3" fontId="6" fillId="0" borderId="15" xfId="0" applyNumberFormat="1" applyFont="1" applyFill="1" applyBorder="1" applyAlignment="1" applyProtection="1">
      <alignment horizontal="center"/>
    </xf>
    <xf numFmtId="4" fontId="7" fillId="8" borderId="1" xfId="0" applyNumberFormat="1" applyFont="1" applyFill="1" applyBorder="1" applyAlignment="1" applyProtection="1">
      <alignment vertical="center"/>
    </xf>
    <xf numFmtId="4" fontId="7" fillId="8" borderId="16" xfId="0" applyNumberFormat="1" applyFont="1" applyFill="1" applyBorder="1" applyProtection="1"/>
    <xf numFmtId="4" fontId="7" fillId="8" borderId="16" xfId="0" applyNumberFormat="1" applyFont="1" applyFill="1" applyBorder="1" applyAlignment="1" applyProtection="1">
      <alignment vertical="center"/>
    </xf>
    <xf numFmtId="4" fontId="7" fillId="8" borderId="1" xfId="0" applyNumberFormat="1" applyFont="1" applyFill="1" applyBorder="1" applyProtection="1"/>
    <xf numFmtId="4" fontId="7" fillId="8" borderId="8" xfId="0" applyNumberFormat="1" applyFont="1" applyFill="1" applyBorder="1" applyProtection="1"/>
    <xf numFmtId="4" fontId="7" fillId="8" borderId="1" xfId="0" applyNumberFormat="1" applyFont="1" applyFill="1" applyBorder="1" applyAlignment="1" applyProtection="1"/>
    <xf numFmtId="4" fontId="7" fillId="8" borderId="16" xfId="0" applyNumberFormat="1" applyFont="1" applyFill="1" applyBorder="1" applyAlignment="1" applyProtection="1"/>
    <xf numFmtId="4" fontId="7" fillId="8" borderId="10" xfId="0" applyNumberFormat="1" applyFont="1" applyFill="1" applyBorder="1" applyProtection="1"/>
    <xf numFmtId="4" fontId="7" fillId="8" borderId="11" xfId="0" applyNumberFormat="1" applyFont="1" applyFill="1" applyBorder="1" applyProtection="1"/>
    <xf numFmtId="4" fontId="7" fillId="8" borderId="9" xfId="0" applyNumberFormat="1" applyFont="1" applyFill="1" applyBorder="1" applyProtection="1"/>
    <xf numFmtId="4" fontId="7" fillId="8" borderId="9" xfId="0" applyNumberFormat="1" applyFont="1" applyFill="1" applyBorder="1" applyAlignment="1" applyProtection="1">
      <alignment horizontal="center"/>
    </xf>
    <xf numFmtId="4" fontId="7" fillId="8" borderId="20" xfId="0" applyNumberFormat="1" applyFont="1" applyFill="1" applyBorder="1" applyProtection="1"/>
    <xf numFmtId="4" fontId="7" fillId="8" borderId="21" xfId="0" applyNumberFormat="1" applyFont="1" applyFill="1" applyBorder="1" applyProtection="1"/>
    <xf numFmtId="4" fontId="7" fillId="8" borderId="21" xfId="0" applyNumberFormat="1" applyFont="1" applyFill="1" applyBorder="1" applyAlignment="1" applyProtection="1">
      <alignment horizontal="center"/>
    </xf>
    <xf numFmtId="4" fontId="7" fillId="8" borderId="14" xfId="0" applyNumberFormat="1" applyFont="1" applyFill="1" applyBorder="1" applyProtection="1"/>
    <xf numFmtId="4" fontId="7" fillId="8" borderId="15" xfId="0" applyNumberFormat="1" applyFont="1" applyFill="1" applyBorder="1" applyProtection="1"/>
    <xf numFmtId="49" fontId="7" fillId="8" borderId="10" xfId="0" applyNumberFormat="1" applyFont="1" applyFill="1" applyBorder="1" applyProtection="1"/>
    <xf numFmtId="0" fontId="7" fillId="8" borderId="8" xfId="0" applyFont="1" applyFill="1" applyBorder="1" applyAlignment="1" applyProtection="1">
      <alignment horizontal="left"/>
    </xf>
    <xf numFmtId="49" fontId="7" fillId="8" borderId="8" xfId="0" applyNumberFormat="1" applyFont="1" applyFill="1" applyBorder="1" applyProtection="1"/>
    <xf numFmtId="49" fontId="7" fillId="8" borderId="20" xfId="0" applyNumberFormat="1" applyFont="1" applyFill="1" applyBorder="1" applyProtection="1"/>
    <xf numFmtId="0" fontId="6" fillId="8" borderId="14" xfId="0" applyFont="1" applyFill="1" applyBorder="1" applyProtection="1"/>
    <xf numFmtId="49" fontId="9" fillId="8" borderId="12" xfId="0" applyNumberFormat="1" applyFont="1" applyFill="1" applyBorder="1" applyProtection="1"/>
    <xf numFmtId="0" fontId="6" fillId="4" borderId="19" xfId="0" applyFont="1" applyFill="1" applyBorder="1" applyAlignment="1" applyProtection="1">
      <alignment horizontal="center" vertical="top"/>
    </xf>
    <xf numFmtId="4" fontId="7" fillId="5" borderId="33" xfId="0" applyNumberFormat="1" applyFont="1" applyFill="1" applyBorder="1" applyAlignment="1" applyProtection="1">
      <alignment vertical="center" wrapText="1"/>
      <protection locked="0"/>
    </xf>
    <xf numFmtId="4" fontId="7" fillId="5" borderId="35" xfId="0" applyNumberFormat="1" applyFont="1" applyFill="1" applyBorder="1" applyAlignment="1" applyProtection="1">
      <alignment vertical="center" wrapText="1"/>
      <protection locked="0"/>
    </xf>
    <xf numFmtId="4" fontId="6" fillId="0" borderId="9" xfId="0" applyNumberFormat="1" applyFont="1" applyBorder="1" applyAlignment="1" applyProtection="1">
      <alignment vertical="center"/>
    </xf>
    <xf numFmtId="4" fontId="7" fillId="8" borderId="9" xfId="0" applyNumberFormat="1" applyFont="1" applyFill="1" applyBorder="1" applyAlignment="1" applyProtection="1">
      <alignment vertical="center"/>
    </xf>
    <xf numFmtId="4" fontId="7" fillId="8" borderId="9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4" fontId="7" fillId="0" borderId="9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>
      <alignment horizontal="right"/>
    </xf>
    <xf numFmtId="4" fontId="7" fillId="0" borderId="9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29" xfId="0" applyNumberFormat="1" applyFont="1" applyFill="1" applyBorder="1" applyAlignment="1" applyProtection="1">
      <alignment horizontal="right" vertical="center"/>
    </xf>
    <xf numFmtId="3" fontId="6" fillId="4" borderId="33" xfId="0" applyNumberFormat="1" applyFont="1" applyFill="1" applyBorder="1" applyAlignment="1" applyProtection="1">
      <alignment vertical="top" wrapText="1"/>
    </xf>
    <xf numFmtId="0" fontId="17" fillId="0" borderId="0" xfId="0" applyFont="1" applyProtection="1"/>
    <xf numFmtId="3" fontId="17" fillId="0" borderId="0" xfId="0" applyNumberFormat="1" applyFont="1" applyProtection="1"/>
    <xf numFmtId="4" fontId="17" fillId="0" borderId="0" xfId="0" applyNumberFormat="1" applyFont="1" applyFill="1"/>
    <xf numFmtId="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17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17" fillId="0" borderId="19" xfId="0" applyFont="1" applyBorder="1" applyAlignment="1" applyProtection="1">
      <alignment horizontal="left" vertical="top"/>
      <protection hidden="1"/>
    </xf>
    <xf numFmtId="4" fontId="17" fillId="0" borderId="16" xfId="0" applyNumberFormat="1" applyFont="1" applyBorder="1" applyAlignment="1" applyProtection="1">
      <alignment vertical="top" wrapText="1"/>
      <protection hidden="1"/>
    </xf>
    <xf numFmtId="4" fontId="17" fillId="0" borderId="1" xfId="0" applyNumberFormat="1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left" vertical="top"/>
      <protection hidden="1"/>
    </xf>
    <xf numFmtId="3" fontId="5" fillId="0" borderId="16" xfId="0" applyNumberFormat="1" applyFont="1" applyFill="1" applyBorder="1" applyAlignment="1" applyProtection="1">
      <alignment horizontal="left" vertical="top" wrapText="1"/>
      <protection hidden="1"/>
    </xf>
    <xf numFmtId="3" fontId="5" fillId="0" borderId="1" xfId="0" applyNumberFormat="1" applyFont="1" applyFill="1" applyBorder="1" applyAlignment="1" applyProtection="1">
      <alignment horizontal="left" vertical="top" wrapText="1"/>
      <protection hidden="1"/>
    </xf>
    <xf numFmtId="0" fontId="17" fillId="0" borderId="2" xfId="0" applyFont="1" applyBorder="1" applyAlignment="1" applyProtection="1">
      <alignment wrapText="1"/>
      <protection hidden="1"/>
    </xf>
    <xf numFmtId="164" fontId="0" fillId="9" borderId="2" xfId="0" applyNumberFormat="1" applyFill="1" applyBorder="1" applyProtection="1">
      <protection locked="0"/>
    </xf>
    <xf numFmtId="164" fontId="0" fillId="0" borderId="1" xfId="0" applyNumberFormat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17" fillId="0" borderId="1" xfId="0" applyFont="1" applyBorder="1" applyAlignment="1" applyProtection="1">
      <alignment wrapText="1"/>
      <protection hidden="1"/>
    </xf>
    <xf numFmtId="164" fontId="0" fillId="9" borderId="1" xfId="0" applyNumberFormat="1" applyFill="1" applyBorder="1" applyProtection="1">
      <protection locked="0"/>
    </xf>
    <xf numFmtId="164" fontId="0" fillId="10" borderId="1" xfId="0" applyNumberFormat="1" applyFill="1" applyBorder="1" applyProtection="1"/>
    <xf numFmtId="0" fontId="17" fillId="0" borderId="1" xfId="0" applyFon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4" fillId="0" borderId="38" xfId="0" applyFont="1" applyBorder="1" applyAlignment="1">
      <alignment wrapText="1"/>
    </xf>
    <xf numFmtId="164" fontId="4" fillId="0" borderId="38" xfId="0" applyNumberFormat="1" applyFont="1" applyBorder="1"/>
    <xf numFmtId="164" fontId="4" fillId="0" borderId="38" xfId="0" applyNumberFormat="1" applyFont="1" applyBorder="1" applyProtection="1">
      <protection hidden="1"/>
    </xf>
    <xf numFmtId="10" fontId="4" fillId="0" borderId="39" xfId="0" applyNumberFormat="1" applyFont="1" applyBorder="1" applyProtection="1">
      <protection hidden="1"/>
    </xf>
    <xf numFmtId="10" fontId="20" fillId="0" borderId="39" xfId="0" applyNumberFormat="1" applyFont="1" applyBorder="1" applyProtection="1">
      <protection hidden="1"/>
    </xf>
    <xf numFmtId="0" fontId="17" fillId="0" borderId="2" xfId="0" applyFont="1" applyBorder="1" applyAlignment="1">
      <alignment vertical="center" wrapText="1"/>
    </xf>
    <xf numFmtId="164" fontId="0" fillId="9" borderId="2" xfId="0" applyNumberFormat="1" applyFill="1" applyBorder="1" applyAlignment="1" applyProtection="1">
      <alignment vertical="center" wrapText="1"/>
      <protection locked="0"/>
    </xf>
    <xf numFmtId="0" fontId="17" fillId="9" borderId="1" xfId="0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Protection="1">
      <protection hidden="1"/>
    </xf>
    <xf numFmtId="0" fontId="1" fillId="0" borderId="13" xfId="0" applyFont="1" applyBorder="1"/>
    <xf numFmtId="164" fontId="1" fillId="0" borderId="13" xfId="0" applyNumberFormat="1" applyFont="1" applyBorder="1" applyProtection="1">
      <protection hidden="1"/>
    </xf>
    <xf numFmtId="164" fontId="0" fillId="11" borderId="2" xfId="0" applyNumberFormat="1" applyFill="1" applyBorder="1" applyAlignment="1" applyProtection="1">
      <alignment vertical="center" wrapText="1"/>
      <protection locked="0"/>
    </xf>
    <xf numFmtId="164" fontId="0" fillId="11" borderId="1" xfId="0" applyNumberFormat="1" applyFill="1" applyBorder="1" applyAlignment="1" applyProtection="1">
      <alignment vertical="center" wrapText="1"/>
      <protection locked="0"/>
    </xf>
    <xf numFmtId="164" fontId="0" fillId="10" borderId="2" xfId="0" applyNumberFormat="1" applyFill="1" applyBorder="1" applyAlignment="1" applyProtection="1">
      <alignment vertical="center" wrapText="1"/>
      <protection hidden="1"/>
    </xf>
    <xf numFmtId="164" fontId="0" fillId="10" borderId="1" xfId="0" applyNumberFormat="1" applyFill="1" applyBorder="1" applyAlignment="1" applyProtection="1">
      <alignment vertical="center" wrapText="1"/>
      <protection hidden="1"/>
    </xf>
    <xf numFmtId="164" fontId="4" fillId="10" borderId="1" xfId="0" applyNumberFormat="1" applyFont="1" applyFill="1" applyBorder="1" applyProtection="1">
      <protection hidden="1"/>
    </xf>
    <xf numFmtId="0" fontId="19" fillId="0" borderId="0" xfId="0" applyFont="1"/>
    <xf numFmtId="10" fontId="21" fillId="0" borderId="0" xfId="0" applyNumberFormat="1" applyFont="1" applyFill="1"/>
    <xf numFmtId="0" fontId="21" fillId="0" borderId="0" xfId="0" applyFont="1" applyFill="1"/>
    <xf numFmtId="4" fontId="7" fillId="0" borderId="0" xfId="0" applyNumberFormat="1" applyFont="1" applyProtection="1"/>
    <xf numFmtId="0" fontId="23" fillId="0" borderId="16" xfId="0" applyFont="1" applyBorder="1" applyAlignment="1" applyProtection="1">
      <alignment vertical="center" wrapText="1"/>
    </xf>
    <xf numFmtId="4" fontId="23" fillId="0" borderId="29" xfId="0" applyNumberFormat="1" applyFont="1" applyFill="1" applyBorder="1" applyAlignment="1" applyProtection="1">
      <alignment horizontal="center" vertical="center"/>
    </xf>
    <xf numFmtId="4" fontId="7" fillId="5" borderId="29" xfId="0" applyNumberFormat="1" applyFont="1" applyFill="1" applyBorder="1" applyAlignment="1" applyProtection="1">
      <alignment horizontal="right" vertical="center"/>
      <protection locked="0"/>
    </xf>
    <xf numFmtId="3" fontId="24" fillId="0" borderId="0" xfId="0" applyNumberFormat="1" applyFont="1" applyBorder="1" applyProtection="1"/>
    <xf numFmtId="0" fontId="17" fillId="0" borderId="1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49" fontId="9" fillId="0" borderId="13" xfId="0" applyNumberFormat="1" applyFont="1" applyFill="1" applyBorder="1" applyAlignment="1" applyProtection="1">
      <alignment horizontal="left" vertical="top" wrapText="1"/>
    </xf>
    <xf numFmtId="3" fontId="6" fillId="4" borderId="33" xfId="0" applyNumberFormat="1" applyFont="1" applyFill="1" applyBorder="1" applyAlignment="1" applyProtection="1">
      <alignment horizontal="left" vertical="top" wrapText="1"/>
    </xf>
    <xf numFmtId="0" fontId="17" fillId="0" borderId="0" xfId="0" applyFont="1" applyFill="1" applyProtection="1"/>
    <xf numFmtId="4" fontId="6" fillId="0" borderId="29" xfId="0" applyNumberFormat="1" applyFont="1" applyBorder="1" applyAlignment="1" applyProtection="1">
      <alignment horizontal="right" vertical="center"/>
    </xf>
    <xf numFmtId="4" fontId="7" fillId="0" borderId="17" xfId="0" applyNumberFormat="1" applyFont="1" applyBorder="1" applyAlignment="1" applyProtection="1">
      <alignment horizontal="center"/>
    </xf>
    <xf numFmtId="0" fontId="7" fillId="0" borderId="23" xfId="0" applyFont="1" applyBorder="1" applyProtection="1"/>
    <xf numFmtId="0" fontId="23" fillId="0" borderId="42" xfId="0" applyFont="1" applyBorder="1" applyAlignment="1" applyProtection="1">
      <alignment horizontal="left" vertical="center" wrapText="1"/>
    </xf>
    <xf numFmtId="4" fontId="23" fillId="0" borderId="42" xfId="0" applyNumberFormat="1" applyFont="1" applyBorder="1" applyAlignment="1" applyProtection="1">
      <alignment horizontal="left" vertical="center" wrapText="1"/>
    </xf>
    <xf numFmtId="4" fontId="7" fillId="0" borderId="44" xfId="0" applyNumberFormat="1" applyFont="1" applyBorder="1" applyAlignment="1" applyProtection="1">
      <alignment horizontal="right"/>
    </xf>
    <xf numFmtId="0" fontId="6" fillId="0" borderId="31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3" fontId="6" fillId="0" borderId="49" xfId="0" applyNumberFormat="1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vertical="center"/>
    </xf>
    <xf numFmtId="3" fontId="26" fillId="4" borderId="33" xfId="0" applyNumberFormat="1" applyFont="1" applyFill="1" applyBorder="1" applyAlignment="1" applyProtection="1">
      <alignment horizontal="left" vertical="top" wrapText="1"/>
    </xf>
    <xf numFmtId="0" fontId="7" fillId="0" borderId="15" xfId="0" applyFont="1" applyBorder="1" applyAlignment="1" applyProtection="1">
      <alignment horizontal="center"/>
    </xf>
    <xf numFmtId="0" fontId="6" fillId="4" borderId="40" xfId="0" applyFont="1" applyFill="1" applyBorder="1" applyAlignment="1" applyProtection="1">
      <alignment horizontal="left" vertical="center"/>
    </xf>
    <xf numFmtId="0" fontId="6" fillId="4" borderId="35" xfId="0" applyFont="1" applyFill="1" applyBorder="1" applyAlignment="1" applyProtection="1">
      <alignment horizontal="left" vertical="center"/>
    </xf>
    <xf numFmtId="0" fontId="6" fillId="4" borderId="41" xfId="0" applyFont="1" applyFill="1" applyBorder="1" applyAlignment="1" applyProtection="1">
      <alignment horizontal="left" vertical="center"/>
    </xf>
    <xf numFmtId="0" fontId="6" fillId="8" borderId="40" xfId="0" applyFont="1" applyFill="1" applyBorder="1" applyAlignment="1" applyProtection="1">
      <alignment horizontal="left" vertical="center"/>
    </xf>
    <xf numFmtId="0" fontId="6" fillId="8" borderId="35" xfId="0" applyFont="1" applyFill="1" applyBorder="1" applyAlignment="1" applyProtection="1">
      <alignment horizontal="left" vertical="center"/>
    </xf>
    <xf numFmtId="0" fontId="6" fillId="8" borderId="41" xfId="0" applyFont="1" applyFill="1" applyBorder="1" applyAlignment="1" applyProtection="1">
      <alignment horizontal="left" vertical="center"/>
    </xf>
    <xf numFmtId="4" fontId="6" fillId="5" borderId="33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48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wrapText="1"/>
      <protection locked="0"/>
    </xf>
    <xf numFmtId="4" fontId="6" fillId="5" borderId="29" xfId="0" applyNumberFormat="1" applyFont="1" applyFill="1" applyBorder="1" applyAlignment="1" applyProtection="1">
      <alignment horizontal="right" wrapText="1"/>
      <protection locked="0"/>
    </xf>
    <xf numFmtId="4" fontId="6" fillId="0" borderId="1" xfId="0" applyNumberFormat="1" applyFont="1" applyFill="1" applyBorder="1" applyAlignment="1" applyProtection="1">
      <alignment horizontal="right" wrapText="1"/>
    </xf>
    <xf numFmtId="4" fontId="6" fillId="0" borderId="29" xfId="0" applyNumberFormat="1" applyFont="1" applyFill="1" applyBorder="1" applyAlignment="1" applyProtection="1">
      <alignment horizontal="right" wrapText="1"/>
    </xf>
    <xf numFmtId="4" fontId="6" fillId="0" borderId="1" xfId="0" applyNumberFormat="1" applyFont="1" applyBorder="1" applyAlignment="1" applyProtection="1">
      <alignment horizontal="right" vertical="center"/>
    </xf>
    <xf numFmtId="4" fontId="6" fillId="0" borderId="29" xfId="0" applyNumberFormat="1" applyFont="1" applyBorder="1" applyAlignment="1" applyProtection="1">
      <alignment horizontal="right"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6" fillId="0" borderId="44" xfId="0" applyNumberFormat="1" applyFont="1" applyBorder="1" applyAlignment="1" applyProtection="1">
      <alignment horizontal="right" vertical="center"/>
    </xf>
    <xf numFmtId="0" fontId="7" fillId="0" borderId="42" xfId="0" applyFont="1" applyBorder="1" applyAlignment="1" applyProtection="1">
      <alignment horizontal="left" vertical="center"/>
    </xf>
    <xf numFmtId="0" fontId="22" fillId="0" borderId="16" xfId="0" applyFont="1" applyBorder="1" applyAlignment="1" applyProtection="1">
      <alignment vertical="center"/>
    </xf>
    <xf numFmtId="0" fontId="7" fillId="0" borderId="43" xfId="0" applyFont="1" applyBorder="1" applyAlignment="1" applyProtection="1">
      <alignment horizontal="left"/>
    </xf>
    <xf numFmtId="0" fontId="7" fillId="0" borderId="37" xfId="0" applyFont="1" applyBorder="1" applyAlignment="1" applyProtection="1"/>
    <xf numFmtId="3" fontId="6" fillId="0" borderId="50" xfId="0" applyNumberFormat="1" applyFont="1" applyBorder="1" applyAlignment="1" applyProtection="1">
      <alignment horizontal="left" wrapText="1"/>
    </xf>
    <xf numFmtId="3" fontId="6" fillId="0" borderId="25" xfId="0" applyNumberFormat="1" applyFont="1" applyBorder="1" applyAlignment="1" applyProtection="1">
      <alignment horizontal="left" wrapText="1"/>
    </xf>
    <xf numFmtId="0" fontId="7" fillId="0" borderId="42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left"/>
    </xf>
    <xf numFmtId="49" fontId="7" fillId="0" borderId="42" xfId="0" applyNumberFormat="1" applyFont="1" applyFill="1" applyBorder="1" applyAlignment="1" applyProtection="1">
      <alignment vertical="center" wrapText="1"/>
    </xf>
    <xf numFmtId="49" fontId="6" fillId="0" borderId="45" xfId="0" applyNumberFormat="1" applyFont="1" applyFill="1" applyBorder="1" applyAlignment="1" applyProtection="1">
      <alignment horizontal="center" vertical="center" wrapText="1"/>
    </xf>
    <xf numFmtId="49" fontId="6" fillId="0" borderId="36" xfId="0" applyNumberFormat="1" applyFont="1" applyFill="1" applyBorder="1" applyAlignment="1" applyProtection="1">
      <alignment horizontal="center" vertical="center" wrapText="1"/>
    </xf>
    <xf numFmtId="49" fontId="6" fillId="0" borderId="46" xfId="0" applyNumberFormat="1" applyFont="1" applyFill="1" applyBorder="1" applyAlignment="1" applyProtection="1">
      <alignment horizontal="center" vertical="center" wrapText="1"/>
    </xf>
    <xf numFmtId="49" fontId="6" fillId="0" borderId="34" xfId="0" applyNumberFormat="1" applyFont="1" applyFill="1" applyBorder="1" applyAlignment="1" applyProtection="1">
      <alignment horizontal="center" vertical="center" wrapText="1"/>
    </xf>
    <xf numFmtId="49" fontId="7" fillId="5" borderId="8" xfId="0" applyNumberFormat="1" applyFont="1" applyFill="1" applyBorder="1" applyAlignment="1" applyProtection="1">
      <alignment vertical="center"/>
    </xf>
    <xf numFmtId="4" fontId="7" fillId="0" borderId="21" xfId="0" applyNumberFormat="1" applyFont="1" applyFill="1" applyBorder="1" applyAlignment="1" applyProtection="1">
      <alignment horizontal="center" wrapText="1"/>
    </xf>
    <xf numFmtId="4" fontId="7" fillId="0" borderId="36" xfId="0" applyNumberFormat="1" applyFont="1" applyFill="1" applyBorder="1" applyAlignment="1" applyProtection="1">
      <alignment horizontal="center" wrapText="1"/>
    </xf>
    <xf numFmtId="4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16" xfId="0" applyNumberFormat="1" applyFont="1" applyFill="1" applyBorder="1" applyAlignment="1" applyProtection="1">
      <alignment horizontal="center" vertical="center"/>
      <protection locked="0"/>
    </xf>
    <xf numFmtId="4" fontId="7" fillId="0" borderId="9" xfId="0" applyNumberFormat="1" applyFont="1" applyFill="1" applyBorder="1" applyAlignment="1" applyProtection="1">
      <alignment horizontal="center"/>
    </xf>
    <xf numFmtId="4" fontId="7" fillId="0" borderId="16" xfId="0" applyNumberFormat="1" applyFont="1" applyFill="1" applyBorder="1" applyAlignment="1" applyProtection="1">
      <alignment horizont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7" fillId="0" borderId="16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vertical="center" wrapText="1"/>
      <protection locked="0"/>
    </xf>
    <xf numFmtId="3" fontId="6" fillId="4" borderId="33" xfId="0" applyNumberFormat="1" applyFont="1" applyFill="1" applyBorder="1" applyAlignment="1" applyProtection="1">
      <alignment horizontal="left" vertical="top" wrapText="1"/>
    </xf>
    <xf numFmtId="3" fontId="5" fillId="4" borderId="1" xfId="0" applyNumberFormat="1" applyFont="1" applyFill="1" applyBorder="1" applyAlignment="1" applyProtection="1">
      <alignment horizontal="left" vertical="top" wrapText="1"/>
    </xf>
    <xf numFmtId="3" fontId="5" fillId="4" borderId="13" xfId="0" applyNumberFormat="1" applyFont="1" applyFill="1" applyBorder="1" applyAlignment="1" applyProtection="1">
      <alignment horizontal="left" vertical="top" wrapText="1"/>
    </xf>
    <xf numFmtId="3" fontId="5" fillId="4" borderId="16" xfId="0" applyNumberFormat="1" applyFont="1" applyFill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wrapText="1"/>
    </xf>
    <xf numFmtId="0" fontId="7" fillId="6" borderId="22" xfId="0" applyFont="1" applyFill="1" applyBorder="1" applyAlignment="1" applyProtection="1">
      <alignment horizontal="right" vertical="top"/>
    </xf>
    <xf numFmtId="0" fontId="7" fillId="6" borderId="24" xfId="0" applyFont="1" applyFill="1" applyBorder="1" applyAlignment="1" applyProtection="1">
      <alignment horizontal="right" vertical="top"/>
    </xf>
    <xf numFmtId="3" fontId="5" fillId="4" borderId="8" xfId="0" applyNumberFormat="1" applyFont="1" applyFill="1" applyBorder="1" applyAlignment="1" applyProtection="1">
      <alignment vertical="top" wrapText="1"/>
    </xf>
    <xf numFmtId="0" fontId="5" fillId="0" borderId="13" xfId="0" applyFont="1" applyBorder="1" applyAlignment="1" applyProtection="1"/>
    <xf numFmtId="4" fontId="7" fillId="0" borderId="8" xfId="0" applyNumberFormat="1" applyFont="1" applyFill="1" applyBorder="1" applyAlignment="1" applyProtection="1">
      <alignment horizontal="center"/>
    </xf>
    <xf numFmtId="4" fontId="7" fillId="0" borderId="8" xfId="0" applyNumberFormat="1" applyFont="1" applyBorder="1" applyAlignment="1" applyProtection="1">
      <alignment horizontal="center" vertical="center" wrapText="1"/>
    </xf>
    <xf numFmtId="4" fontId="7" fillId="0" borderId="16" xfId="0" applyNumberFormat="1" applyFont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/>
    </xf>
    <xf numFmtId="0" fontId="7" fillId="6" borderId="26" xfId="0" applyFont="1" applyFill="1" applyBorder="1" applyAlignment="1" applyProtection="1">
      <alignment horizontal="center" vertical="center"/>
    </xf>
    <xf numFmtId="4" fontId="7" fillId="0" borderId="9" xfId="0" applyNumberFormat="1" applyFont="1" applyBorder="1" applyAlignment="1" applyProtection="1">
      <alignment horizontal="center" vertical="center" wrapText="1"/>
    </xf>
    <xf numFmtId="4" fontId="7" fillId="6" borderId="9" xfId="0" applyNumberFormat="1" applyFont="1" applyFill="1" applyBorder="1" applyAlignment="1" applyProtection="1">
      <alignment horizontal="center"/>
    </xf>
    <xf numFmtId="4" fontId="7" fillId="6" borderId="16" xfId="0" applyNumberFormat="1" applyFont="1" applyFill="1" applyBorder="1" applyAlignment="1" applyProtection="1">
      <alignment horizontal="center"/>
    </xf>
    <xf numFmtId="4" fontId="7" fillId="6" borderId="9" xfId="0" applyNumberFormat="1" applyFont="1" applyFill="1" applyBorder="1" applyAlignment="1" applyProtection="1">
      <alignment horizontal="center" wrapText="1"/>
    </xf>
    <xf numFmtId="4" fontId="7" fillId="6" borderId="16" xfId="0" applyNumberFormat="1" applyFont="1" applyFill="1" applyBorder="1" applyAlignment="1" applyProtection="1">
      <alignment horizontal="center" wrapText="1"/>
    </xf>
    <xf numFmtId="4" fontId="7" fillId="6" borderId="9" xfId="0" applyNumberFormat="1" applyFont="1" applyFill="1" applyBorder="1" applyAlignment="1" applyProtection="1">
      <alignment horizontal="center" vertical="center"/>
    </xf>
    <xf numFmtId="4" fontId="7" fillId="6" borderId="16" xfId="0" applyNumberFormat="1" applyFont="1" applyFill="1" applyBorder="1" applyAlignment="1" applyProtection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/>
    </xf>
    <xf numFmtId="0" fontId="0" fillId="11" borderId="0" xfId="0" applyFill="1" applyAlignment="1">
      <alignment horizontal="left" vertical="top" wrapText="1"/>
    </xf>
    <xf numFmtId="0" fontId="0" fillId="11" borderId="0" xfId="0" applyFill="1" applyAlignment="1">
      <alignment horizontal="left" vertical="top"/>
    </xf>
    <xf numFmtId="4" fontId="0" fillId="9" borderId="0" xfId="0" applyNumberFormat="1" applyFill="1" applyAlignment="1">
      <alignment horizontal="center"/>
    </xf>
    <xf numFmtId="0" fontId="17" fillId="0" borderId="0" xfId="0" applyNumberFormat="1" applyFont="1" applyAlignment="1" applyProtection="1">
      <alignment horizontal="left"/>
      <protection hidden="1"/>
    </xf>
    <xf numFmtId="0" fontId="0" fillId="0" borderId="0" xfId="0" applyNumberFormat="1" applyAlignment="1" applyProtection="1">
      <alignment horizontal="left"/>
      <protection hidden="1"/>
    </xf>
    <xf numFmtId="4" fontId="0" fillId="0" borderId="0" xfId="0" applyNumberFormat="1" applyProtection="1">
      <protection hidden="1"/>
    </xf>
    <xf numFmtId="4" fontId="18" fillId="0" borderId="19" xfId="0" applyNumberFormat="1" applyFont="1" applyBorder="1" applyAlignment="1" applyProtection="1">
      <alignment horizontal="left" vertical="top" wrapText="1"/>
      <protection hidden="1"/>
    </xf>
    <xf numFmtId="4" fontId="18" fillId="0" borderId="2" xfId="0" applyNumberFormat="1" applyFont="1" applyBorder="1" applyAlignment="1" applyProtection="1">
      <alignment horizontal="left" vertical="top" wrapText="1"/>
      <protection hidden="1"/>
    </xf>
    <xf numFmtId="0" fontId="17" fillId="0" borderId="39" xfId="0" applyFont="1" applyBorder="1" applyAlignment="1">
      <alignment wrapText="1"/>
    </xf>
    <xf numFmtId="0" fontId="1" fillId="0" borderId="0" xfId="0" applyFont="1" applyAlignment="1" applyProtection="1">
      <alignment horizontal="left" vertical="top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BFBF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="90" zoomScaleNormal="90" workbookViewId="0">
      <selection activeCell="D9" sqref="D9"/>
    </sheetView>
  </sheetViews>
  <sheetFormatPr baseColWidth="10" defaultColWidth="11.44140625" defaultRowHeight="13.2" x14ac:dyDescent="0.25"/>
  <cols>
    <col min="1" max="1" width="2.88671875" style="1" customWidth="1"/>
    <col min="2" max="2" width="44.109375" style="1" customWidth="1"/>
    <col min="3" max="3" width="1.33203125" style="1" customWidth="1"/>
    <col min="4" max="4" width="14.6640625" style="1" customWidth="1"/>
    <col min="5" max="5" width="12.6640625" style="1" customWidth="1"/>
    <col min="6" max="6" width="13.6640625" style="1" customWidth="1"/>
    <col min="7" max="7" width="13.44140625" style="1" customWidth="1"/>
    <col min="8" max="8" width="15" style="1" customWidth="1"/>
    <col min="9" max="9" width="11.109375" style="1" customWidth="1"/>
    <col min="10" max="10" width="10.5546875" style="3" customWidth="1"/>
    <col min="11" max="11" width="13" style="1" customWidth="1"/>
    <col min="12" max="12" width="2.6640625" style="1" customWidth="1"/>
    <col min="13" max="13" width="30.109375" style="1" customWidth="1"/>
    <col min="14" max="14" width="2.44140625" style="1" customWidth="1"/>
    <col min="15" max="15" width="13.21875" style="1" customWidth="1"/>
    <col min="16" max="16" width="3.44140625" style="1" customWidth="1"/>
    <col min="17" max="17" width="11.6640625" style="1" bestFit="1" customWidth="1"/>
    <col min="18" max="16384" width="11.44140625" style="1"/>
  </cols>
  <sheetData>
    <row r="1" spans="1:17" ht="12.75" customHeight="1" thickBot="1" x14ac:dyDescent="0.3">
      <c r="B1" s="42" t="s">
        <v>92</v>
      </c>
      <c r="C1" s="2"/>
    </row>
    <row r="2" spans="1:17" ht="24" customHeight="1" thickBot="1" x14ac:dyDescent="0.3">
      <c r="A2" s="4"/>
      <c r="B2" s="303" t="s">
        <v>86</v>
      </c>
      <c r="C2" s="303"/>
      <c r="D2" s="304"/>
      <c r="E2" s="304"/>
      <c r="F2" s="304"/>
      <c r="G2" s="304"/>
      <c r="H2" s="304"/>
      <c r="I2" s="304"/>
      <c r="J2" s="304"/>
      <c r="K2" s="304"/>
      <c r="L2" s="5"/>
      <c r="M2" s="287" t="s">
        <v>3</v>
      </c>
      <c r="N2" s="288"/>
      <c r="O2" s="289"/>
      <c r="P2" s="6"/>
    </row>
    <row r="3" spans="1:17" ht="4.95" customHeight="1" x14ac:dyDescent="0.4">
      <c r="A3" s="6"/>
      <c r="B3" s="7"/>
      <c r="C3" s="7"/>
      <c r="D3" s="8"/>
      <c r="E3" s="8"/>
      <c r="F3" s="8"/>
      <c r="G3" s="8"/>
      <c r="H3" s="8"/>
      <c r="I3" s="234"/>
      <c r="J3" s="9"/>
      <c r="K3" s="10"/>
      <c r="L3" s="11"/>
      <c r="M3" s="36"/>
      <c r="N3" s="37"/>
      <c r="O3" s="38"/>
      <c r="P3" s="6"/>
    </row>
    <row r="4" spans="1:17" s="42" customFormat="1" ht="12.75" customHeight="1" x14ac:dyDescent="0.2">
      <c r="A4" s="44"/>
      <c r="B4" s="33" t="s">
        <v>16</v>
      </c>
      <c r="C4" s="33"/>
      <c r="D4" s="290"/>
      <c r="E4" s="290"/>
      <c r="F4" s="290"/>
      <c r="G4" s="290"/>
      <c r="H4" s="290"/>
      <c r="I4" s="290"/>
      <c r="J4" s="290"/>
      <c r="K4" s="290"/>
      <c r="L4" s="33" t="s">
        <v>12</v>
      </c>
      <c r="M4" s="45" t="s">
        <v>18</v>
      </c>
      <c r="N4" s="123"/>
      <c r="O4" s="124"/>
      <c r="P4" s="44"/>
    </row>
    <row r="5" spans="1:17" s="42" customFormat="1" ht="4.95" customHeight="1" thickBot="1" x14ac:dyDescent="0.25">
      <c r="A5" s="44"/>
      <c r="B5" s="33"/>
      <c r="C5" s="33"/>
      <c r="D5" s="47"/>
      <c r="E5" s="47"/>
      <c r="F5" s="47"/>
      <c r="G5" s="47"/>
      <c r="H5" s="47"/>
      <c r="I5" s="47"/>
      <c r="J5" s="47"/>
      <c r="K5" s="47"/>
      <c r="L5" s="48"/>
      <c r="M5" s="49"/>
      <c r="N5" s="50"/>
      <c r="O5" s="116"/>
      <c r="P5" s="44"/>
    </row>
    <row r="6" spans="1:17" s="42" customFormat="1" ht="79.5" customHeight="1" x14ac:dyDescent="0.25">
      <c r="A6" s="52" t="s">
        <v>19</v>
      </c>
      <c r="B6" s="34" t="s">
        <v>25</v>
      </c>
      <c r="C6" s="34"/>
      <c r="D6" s="233" t="s">
        <v>74</v>
      </c>
      <c r="E6" s="176" t="s">
        <v>70</v>
      </c>
      <c r="F6" s="245" t="s">
        <v>75</v>
      </c>
      <c r="G6" s="176" t="s">
        <v>71</v>
      </c>
      <c r="H6" s="233" t="s">
        <v>65</v>
      </c>
      <c r="I6" s="291" t="s">
        <v>69</v>
      </c>
      <c r="J6" s="291"/>
      <c r="K6" s="53" t="s">
        <v>1</v>
      </c>
      <c r="L6" s="54"/>
      <c r="M6" s="296" t="s">
        <v>2</v>
      </c>
      <c r="N6" s="297"/>
      <c r="O6" s="113">
        <f ca="1">NOW()</f>
        <v>46045.317769444446</v>
      </c>
      <c r="P6" s="44"/>
    </row>
    <row r="7" spans="1:17" s="42" customFormat="1" ht="46.5" customHeight="1" x14ac:dyDescent="0.25">
      <c r="A7" s="55"/>
      <c r="B7" s="305"/>
      <c r="C7" s="307"/>
      <c r="D7" s="292" t="s">
        <v>34</v>
      </c>
      <c r="E7" s="292" t="s">
        <v>58</v>
      </c>
      <c r="F7" s="292" t="s">
        <v>59</v>
      </c>
      <c r="G7" s="292" t="s">
        <v>60</v>
      </c>
      <c r="H7" s="292" t="s">
        <v>66</v>
      </c>
      <c r="I7" s="294" t="s">
        <v>62</v>
      </c>
      <c r="J7" s="298" t="s">
        <v>57</v>
      </c>
      <c r="K7" s="160"/>
      <c r="L7" s="56"/>
      <c r="M7" s="114"/>
      <c r="N7" s="57"/>
      <c r="O7" s="58"/>
      <c r="P7" s="44"/>
    </row>
    <row r="8" spans="1:17" s="42" customFormat="1" ht="57.75" customHeight="1" thickBot="1" x14ac:dyDescent="0.3">
      <c r="A8" s="59"/>
      <c r="B8" s="306"/>
      <c r="C8" s="308"/>
      <c r="D8" s="293"/>
      <c r="E8" s="293"/>
      <c r="F8" s="293"/>
      <c r="G8" s="293"/>
      <c r="H8" s="293"/>
      <c r="I8" s="295"/>
      <c r="J8" s="299"/>
      <c r="K8" s="60"/>
      <c r="L8" s="61"/>
      <c r="M8" s="115"/>
      <c r="N8" s="62"/>
      <c r="O8" s="63"/>
      <c r="P8" s="44"/>
    </row>
    <row r="9" spans="1:17" s="71" customFormat="1" ht="47.4" customHeight="1" x14ac:dyDescent="0.25">
      <c r="A9" s="64">
        <v>1</v>
      </c>
      <c r="B9" s="32" t="s">
        <v>87</v>
      </c>
      <c r="C9" s="21"/>
      <c r="D9" s="161">
        <f>Anlage!E25</f>
        <v>0</v>
      </c>
      <c r="E9" s="161">
        <f>Anlage!F25</f>
        <v>0</v>
      </c>
      <c r="F9" s="162">
        <f>Anlage!G25</f>
        <v>0</v>
      </c>
      <c r="G9" s="161">
        <f>Anlage!H25</f>
        <v>0</v>
      </c>
      <c r="H9" s="161">
        <f>Anlage!I25</f>
        <v>0</v>
      </c>
      <c r="I9" s="66">
        <f>Anlage!J25</f>
        <v>0</v>
      </c>
      <c r="J9" s="65">
        <f>Anlage!K25</f>
        <v>0</v>
      </c>
      <c r="K9" s="67">
        <f>SUM(D9:J9)</f>
        <v>0</v>
      </c>
      <c r="L9" s="68"/>
      <c r="M9" s="278" t="s">
        <v>4</v>
      </c>
      <c r="N9" s="271"/>
      <c r="O9" s="69"/>
      <c r="P9" s="70"/>
    </row>
    <row r="10" spans="1:17" s="71" customFormat="1" ht="23.4" thickBot="1" x14ac:dyDescent="0.25">
      <c r="A10" s="73">
        <v>2</v>
      </c>
      <c r="B10" s="12" t="s">
        <v>26</v>
      </c>
      <c r="C10" s="74"/>
      <c r="D10" s="72"/>
      <c r="E10" s="72"/>
      <c r="F10" s="133"/>
      <c r="G10" s="72"/>
      <c r="H10" s="72"/>
      <c r="I10" s="281"/>
      <c r="J10" s="282"/>
      <c r="K10" s="75">
        <f>I10</f>
        <v>0</v>
      </c>
      <c r="L10" s="68"/>
      <c r="M10" s="279"/>
      <c r="N10" s="280"/>
      <c r="O10" s="241"/>
      <c r="P10" s="70"/>
    </row>
    <row r="11" spans="1:17" s="77" customFormat="1" ht="24" x14ac:dyDescent="0.25">
      <c r="A11" s="64">
        <v>3</v>
      </c>
      <c r="B11" s="125" t="s">
        <v>24</v>
      </c>
      <c r="C11" s="23"/>
      <c r="D11" s="316">
        <f>D9+E9</f>
        <v>0</v>
      </c>
      <c r="E11" s="286"/>
      <c r="F11" s="169">
        <f>F9</f>
        <v>0</v>
      </c>
      <c r="G11" s="170">
        <f>G9</f>
        <v>0</v>
      </c>
      <c r="H11" s="167">
        <f>H9</f>
        <v>0</v>
      </c>
      <c r="I11" s="285">
        <f>I9+J9+I10</f>
        <v>0</v>
      </c>
      <c r="J11" s="286"/>
      <c r="K11" s="75">
        <f>SUM(D11:J11)</f>
        <v>0</v>
      </c>
      <c r="L11" s="76"/>
      <c r="M11" s="247" t="s">
        <v>91</v>
      </c>
      <c r="N11" s="248"/>
      <c r="O11" s="249"/>
    </row>
    <row r="12" spans="1:17" s="77" customFormat="1" ht="24" customHeight="1" x14ac:dyDescent="0.2">
      <c r="A12" s="64">
        <v>4</v>
      </c>
      <c r="B12" s="13" t="s">
        <v>5</v>
      </c>
      <c r="C12" s="22"/>
      <c r="D12" s="300">
        <f>IF(D11=0,0,IF(G11+F11&gt;=2500000,0,IF(G11+F11+D11&gt;2500000,2500000-G11-F11,D11)))</f>
        <v>0</v>
      </c>
      <c r="E12" s="284"/>
      <c r="F12" s="171">
        <f>IF(F11=0,0,IF(G11&gt;=2500000,0,IF(G11+F11&gt;2500000,2500000-G11,F11)))</f>
        <v>0</v>
      </c>
      <c r="G12" s="172">
        <f>IF(G9=0,0,IF(G9&lt;=2500000,G9,IF(G9&gt;2500000,2500000)))</f>
        <v>0</v>
      </c>
      <c r="H12" s="166">
        <f>IF(H11=0,0,IF(G11+F11+D11&gt;=2500000,0,IF(G11+F11+D11+H11&gt;2500000,2500000-G11-F11-D11,H11)))</f>
        <v>0</v>
      </c>
      <c r="I12" s="283">
        <f>IF(I11=0,0,IF(G11+F11+D11+H11&gt;=2500000,0,IF(G11+F11+D11+H11+I11&gt;2500000,2500000-G11-F11-D11-H11,I11)))</f>
        <v>0</v>
      </c>
      <c r="J12" s="284"/>
      <c r="K12" s="79">
        <f>SUM(D12:J12)</f>
        <v>0</v>
      </c>
      <c r="L12" s="76"/>
      <c r="M12" s="269" t="s">
        <v>27</v>
      </c>
      <c r="N12" s="270"/>
      <c r="O12" s="78">
        <f>K20-J20</f>
        <v>0</v>
      </c>
    </row>
    <row r="13" spans="1:17" s="42" customFormat="1" ht="45.6" x14ac:dyDescent="0.2">
      <c r="A13" s="73">
        <v>5</v>
      </c>
      <c r="B13" s="40" t="s">
        <v>30</v>
      </c>
      <c r="C13" s="41"/>
      <c r="D13" s="80"/>
      <c r="E13" s="80"/>
      <c r="F13" s="134"/>
      <c r="G13" s="80"/>
      <c r="H13" s="80"/>
      <c r="I13" s="312"/>
      <c r="J13" s="313"/>
      <c r="K13" s="81"/>
      <c r="L13" s="43"/>
      <c r="M13" s="269" t="s">
        <v>28</v>
      </c>
      <c r="N13" s="270"/>
      <c r="O13" s="78">
        <f>K20</f>
        <v>0</v>
      </c>
    </row>
    <row r="14" spans="1:17" s="71" customFormat="1" ht="27.75" customHeight="1" x14ac:dyDescent="0.25">
      <c r="A14" s="64">
        <v>6</v>
      </c>
      <c r="B14" s="118" t="s">
        <v>6</v>
      </c>
      <c r="C14" s="119"/>
      <c r="D14" s="120"/>
      <c r="E14" s="120"/>
      <c r="F14" s="135"/>
      <c r="G14" s="120"/>
      <c r="H14" s="120"/>
      <c r="I14" s="314"/>
      <c r="J14" s="315"/>
      <c r="K14" s="88">
        <f>IF(K12&lt;=0,0,K12+K13)</f>
        <v>0</v>
      </c>
      <c r="L14" s="68"/>
      <c r="M14" s="273" t="s">
        <v>90</v>
      </c>
      <c r="N14" s="270"/>
      <c r="O14" s="82">
        <f>IF(O13=0,0,IF(O13&lt;200000,6000,IF(O13&gt;500000,(500000*3%+(O13-500000)*2%),O13*3%)))</f>
        <v>0</v>
      </c>
    </row>
    <row r="15" spans="1:17" s="77" customFormat="1" ht="12" customHeight="1" x14ac:dyDescent="0.2">
      <c r="A15" s="64">
        <v>7</v>
      </c>
      <c r="B15" s="13" t="s">
        <v>7</v>
      </c>
      <c r="C15" s="22"/>
      <c r="D15" s="300">
        <f>IF(D12=0,0,IF(D12&lt;K15-I15-H15,D12,K15-I15-H15))</f>
        <v>0</v>
      </c>
      <c r="E15" s="284"/>
      <c r="F15" s="171">
        <f>IF(F12=0,0,IF(F12&lt;K15-I15-H15-D15,F12,K15-I15-H15-D15))</f>
        <v>0</v>
      </c>
      <c r="G15" s="172">
        <f>K15-I15-H15-F15-E15-D15</f>
        <v>0</v>
      </c>
      <c r="H15" s="166">
        <f>IF(H12=0,0,IF(H12&lt;K15-I15,H12,K15-I15))</f>
        <v>0</v>
      </c>
      <c r="I15" s="283">
        <f>IF(I12=0,0,IF(K15&gt;=I12,I12,IF(K15&lt;I12,K15,I12-K15)))</f>
        <v>0</v>
      </c>
      <c r="J15" s="284"/>
      <c r="K15" s="79">
        <f>IF(K14&lt;=2500000,0,K14-2500000)</f>
        <v>0</v>
      </c>
      <c r="L15" s="76"/>
      <c r="M15" s="274" t="s">
        <v>89</v>
      </c>
      <c r="N15" s="275"/>
      <c r="O15" s="127">
        <f>IF(O12&lt;=100000,0,IF(O14&gt;20000,20000,O14))</f>
        <v>0</v>
      </c>
      <c r="Q15" s="121"/>
    </row>
    <row r="16" spans="1:17" s="42" customFormat="1" ht="12" x14ac:dyDescent="0.2">
      <c r="A16" s="73">
        <v>8</v>
      </c>
      <c r="B16" s="13" t="s">
        <v>17</v>
      </c>
      <c r="C16" s="22"/>
      <c r="D16" s="300">
        <f>D12-D15</f>
        <v>0</v>
      </c>
      <c r="E16" s="284"/>
      <c r="F16" s="171">
        <f>F12-F15</f>
        <v>0</v>
      </c>
      <c r="G16" s="172">
        <f>G12-G15</f>
        <v>0</v>
      </c>
      <c r="H16" s="166">
        <f>H12-H15</f>
        <v>0</v>
      </c>
      <c r="I16" s="283">
        <f>I12-I15</f>
        <v>0</v>
      </c>
      <c r="J16" s="284"/>
      <c r="K16" s="79">
        <f>SUM(D16:J16)</f>
        <v>0</v>
      </c>
      <c r="L16" s="43"/>
      <c r="M16" s="276"/>
      <c r="N16" s="277"/>
      <c r="O16" s="235">
        <f>IF(O9&lt;O15,O9,O15)</f>
        <v>0</v>
      </c>
    </row>
    <row r="17" spans="1:17" s="42" customFormat="1" ht="46.2" thickBot="1" x14ac:dyDescent="0.25">
      <c r="A17" s="64">
        <v>9</v>
      </c>
      <c r="B17" s="12" t="s">
        <v>31</v>
      </c>
      <c r="C17" s="24"/>
      <c r="D17" s="83"/>
      <c r="E17" s="83"/>
      <c r="F17" s="136"/>
      <c r="G17" s="83"/>
      <c r="H17" s="83"/>
      <c r="I17" s="310"/>
      <c r="J17" s="311"/>
      <c r="K17" s="81"/>
      <c r="L17" s="43"/>
      <c r="M17" s="272" t="s">
        <v>9</v>
      </c>
      <c r="N17" s="266"/>
      <c r="O17" s="240">
        <f>IF(O9&lt;6000,0,O16*60%)</f>
        <v>0</v>
      </c>
    </row>
    <row r="18" spans="1:17" s="42" customFormat="1" ht="12" thickBot="1" x14ac:dyDescent="0.25">
      <c r="A18" s="64">
        <v>10</v>
      </c>
      <c r="B18" s="13" t="s">
        <v>8</v>
      </c>
      <c r="C18" s="22"/>
      <c r="D18" s="300">
        <f>IF(D16=0,0,IF(D16&lt;K17-I18-H18,D16,K17-I18-H18))</f>
        <v>0</v>
      </c>
      <c r="E18" s="284"/>
      <c r="F18" s="131">
        <f>IF(F16=0,0,IF(F16&lt;K17-I18-H18-D18,F16,K17-I18-H18-D18))</f>
        <v>0</v>
      </c>
      <c r="G18" s="166">
        <f>IF(G16=0,0,K18-H18-I18-D18-F18)</f>
        <v>0</v>
      </c>
      <c r="H18" s="166">
        <f>IF(H16=0,0,IF(H16&lt;K17-I18,H16,K17-I18))</f>
        <v>0</v>
      </c>
      <c r="I18" s="283">
        <f>IF(I16&gt;=K17,K17,IF(I16&lt;K17,I16,I16-K17))</f>
        <v>0</v>
      </c>
      <c r="J18" s="284"/>
      <c r="K18" s="79">
        <f>K17</f>
        <v>0</v>
      </c>
      <c r="L18" s="43"/>
      <c r="M18" s="16"/>
      <c r="N18" s="84"/>
      <c r="O18" s="85"/>
    </row>
    <row r="19" spans="1:17" s="42" customFormat="1" ht="22.8" x14ac:dyDescent="0.2">
      <c r="A19" s="73">
        <v>11</v>
      </c>
      <c r="B19" s="14" t="s">
        <v>32</v>
      </c>
      <c r="C19" s="24"/>
      <c r="D19" s="301">
        <f>IF(D12&lt;=0,0,IF(H19&lt;0,D12-D15-D18+H19,D12-D15-D18))</f>
        <v>0</v>
      </c>
      <c r="E19" s="302"/>
      <c r="F19" s="173">
        <f>IF(F12&lt;=0,0,IF(D19&lt;0,F12-F15-F18+D19,F12-F15-F18))</f>
        <v>0</v>
      </c>
      <c r="G19" s="174">
        <f>IF(G12&lt;=0,0,IF(F19&lt;0,G12-G15-G18+F19,G12-G15-G18))</f>
        <v>0</v>
      </c>
      <c r="H19" s="122">
        <f>IF(H12&lt;=0,0,IF(I12-I15-I18&lt;0,H12-H15-H18+I19,H12-H15-H18))</f>
        <v>0</v>
      </c>
      <c r="I19" s="309">
        <f>IF(I12&lt;=0,0,IF(H12-H15-H18&lt;0,I12-I15-I18+H19,I12-I15-I18))</f>
        <v>0</v>
      </c>
      <c r="J19" s="302"/>
      <c r="K19" s="86"/>
      <c r="L19" s="43"/>
      <c r="M19" s="250" t="s">
        <v>61</v>
      </c>
      <c r="N19" s="251"/>
      <c r="O19" s="252"/>
    </row>
    <row r="20" spans="1:17" s="42" customFormat="1" ht="12" x14ac:dyDescent="0.25">
      <c r="A20" s="64">
        <v>12</v>
      </c>
      <c r="B20" s="107" t="s">
        <v>29</v>
      </c>
      <c r="C20" s="22"/>
      <c r="D20" s="111">
        <f>ROUND(IF(D19&lt;=0,0,IF(D9=0,0,IF(D9&gt;0,(D9)/(D9+E9)*(D19),(D19)))),2)</f>
        <v>0</v>
      </c>
      <c r="E20" s="111">
        <f>ROUND(IF(D19&lt;=0,0,IF(E9=0,0,IF(D9&gt;0,E9/(D9+E9)*(D19),(D19)))),2)</f>
        <v>0</v>
      </c>
      <c r="F20" s="163">
        <f>ROUND(IF(F19&lt;=0,0,IF(F9&gt;0,F19,0)),2)</f>
        <v>0</v>
      </c>
      <c r="G20" s="111">
        <f>ROUND(IF(G19&lt;=0,0,IF(G9&gt;0,G19,0)),2)</f>
        <v>0</v>
      </c>
      <c r="H20" s="168">
        <f>ROUND(IF(H19&lt;=0,0,IF(H9&gt;0,H19,0)),2)</f>
        <v>0</v>
      </c>
      <c r="I20" s="112">
        <f>ROUND(IF(I19&lt;=0,0,IF(I9+I10=0,0,IF(I9+I10&gt;0,(I9+I10)/(I9+I10+J9)*(I19),(I19)))),2)</f>
        <v>0</v>
      </c>
      <c r="J20" s="111">
        <f>ROUND(IF(I19&lt;=0,0,IF(J9=0,0,IF(I9+I10&gt;0,J9/(I9+I10+J9)*(I19),(I19)))),2)</f>
        <v>0</v>
      </c>
      <c r="K20" s="105">
        <f>IF(D20+E20+F20+G20+H20+I20+J20&lt;20000,0,D20+E20+F20+G20+H20+I20+J20)</f>
        <v>0</v>
      </c>
      <c r="L20" s="87"/>
      <c r="M20" s="237"/>
      <c r="N20" s="43"/>
      <c r="O20" s="108"/>
    </row>
    <row r="21" spans="1:17" s="42" customFormat="1" ht="11.4" x14ac:dyDescent="0.2">
      <c r="A21" s="64">
        <v>13</v>
      </c>
      <c r="B21" s="132" t="s">
        <v>33</v>
      </c>
      <c r="C21" s="22"/>
      <c r="D21" s="138"/>
      <c r="E21" s="138"/>
      <c r="F21" s="164"/>
      <c r="G21" s="88">
        <f>G20*65%</f>
        <v>0</v>
      </c>
      <c r="H21" s="138"/>
      <c r="I21" s="140"/>
      <c r="J21" s="138"/>
      <c r="K21" s="122">
        <f>G21</f>
        <v>0</v>
      </c>
      <c r="L21" s="87"/>
      <c r="M21" s="269" t="s">
        <v>29</v>
      </c>
      <c r="N21" s="270"/>
      <c r="O21" s="175">
        <f>IF(K20+O16&gt;2500000,2500000,K20+O16)</f>
        <v>0</v>
      </c>
    </row>
    <row r="22" spans="1:17" s="42" customFormat="1" ht="11.4" x14ac:dyDescent="0.2">
      <c r="A22" s="73">
        <v>14</v>
      </c>
      <c r="B22" s="132" t="s">
        <v>23</v>
      </c>
      <c r="C22" s="22"/>
      <c r="D22" s="138"/>
      <c r="E22" s="138"/>
      <c r="F22" s="130">
        <f>F20*50%</f>
        <v>0</v>
      </c>
      <c r="G22" s="138"/>
      <c r="H22" s="138"/>
      <c r="I22" s="140"/>
      <c r="J22" s="138"/>
      <c r="K22" s="122">
        <f>F22</f>
        <v>0</v>
      </c>
      <c r="L22" s="229"/>
      <c r="M22" s="238" t="s">
        <v>50</v>
      </c>
      <c r="N22" s="226"/>
      <c r="O22" s="227">
        <f>IF(O21&lt;20000,0,IF(O24=0,0,IF(O24&gt;40,0,IF(O21*10%&gt;20000,20000,O21*10%))))</f>
        <v>0</v>
      </c>
    </row>
    <row r="23" spans="1:17" s="42" customFormat="1" ht="11.4" x14ac:dyDescent="0.2">
      <c r="A23" s="64">
        <v>15</v>
      </c>
      <c r="B23" s="126" t="s">
        <v>20</v>
      </c>
      <c r="C23" s="39"/>
      <c r="D23" s="88">
        <f>D20*40%</f>
        <v>0</v>
      </c>
      <c r="E23" s="88">
        <f>E20*40%</f>
        <v>0</v>
      </c>
      <c r="F23" s="164"/>
      <c r="G23" s="138"/>
      <c r="H23" s="141"/>
      <c r="I23" s="140"/>
      <c r="J23" s="138"/>
      <c r="K23" s="89">
        <f>SUM(D23:E23)</f>
        <v>0</v>
      </c>
      <c r="L23" s="229"/>
      <c r="M23" s="239" t="s">
        <v>51</v>
      </c>
      <c r="N23" s="226"/>
      <c r="O23" s="227">
        <f>MIN(O22+O25,20000)</f>
        <v>0</v>
      </c>
    </row>
    <row r="24" spans="1:17" s="77" customFormat="1" ht="11.4" x14ac:dyDescent="0.2">
      <c r="A24" s="64">
        <v>16</v>
      </c>
      <c r="B24" s="18" t="s">
        <v>72</v>
      </c>
      <c r="C24" s="25"/>
      <c r="D24" s="141"/>
      <c r="E24" s="141"/>
      <c r="F24" s="147"/>
      <c r="G24" s="141"/>
      <c r="H24" s="141"/>
      <c r="I24" s="92">
        <f>I20*20%</f>
        <v>0</v>
      </c>
      <c r="J24" s="79">
        <f>J20*20%</f>
        <v>0</v>
      </c>
      <c r="K24" s="93">
        <f>SUM(I24:J24)</f>
        <v>0</v>
      </c>
      <c r="L24" s="87"/>
      <c r="M24" s="263" t="s">
        <v>10</v>
      </c>
      <c r="N24" s="271"/>
      <c r="O24" s="110"/>
      <c r="P24" s="91"/>
    </row>
    <row r="25" spans="1:17" s="42" customFormat="1" ht="11.4" x14ac:dyDescent="0.2">
      <c r="A25" s="73">
        <v>17</v>
      </c>
      <c r="B25" s="18" t="s">
        <v>21</v>
      </c>
      <c r="C25" s="25"/>
      <c r="D25" s="141"/>
      <c r="E25" s="141"/>
      <c r="F25" s="147"/>
      <c r="G25" s="141"/>
      <c r="H25" s="79">
        <f>H20*30%</f>
        <v>0</v>
      </c>
      <c r="I25" s="139"/>
      <c r="J25" s="141"/>
      <c r="K25" s="94">
        <f>SUM(H25:H25)</f>
        <v>0</v>
      </c>
      <c r="L25" s="90"/>
      <c r="M25" s="263" t="s">
        <v>49</v>
      </c>
      <c r="N25" s="264"/>
      <c r="O25" s="228"/>
      <c r="P25" s="44"/>
    </row>
    <row r="26" spans="1:17" s="42" customFormat="1" ht="12" thickBot="1" x14ac:dyDescent="0.25">
      <c r="A26" s="64">
        <v>18</v>
      </c>
      <c r="B26" s="19" t="s">
        <v>0</v>
      </c>
      <c r="C26" s="25"/>
      <c r="D26" s="141"/>
      <c r="E26" s="141"/>
      <c r="F26" s="147"/>
      <c r="G26" s="141"/>
      <c r="H26" s="141"/>
      <c r="I26" s="139"/>
      <c r="J26" s="141"/>
      <c r="K26" s="93">
        <f>IF(O17=0,0,O17)</f>
        <v>0</v>
      </c>
      <c r="L26" s="87"/>
      <c r="M26" s="265" t="s">
        <v>11</v>
      </c>
      <c r="N26" s="266"/>
      <c r="O26" s="240">
        <f>O23-O25</f>
        <v>0</v>
      </c>
      <c r="P26" s="44"/>
      <c r="Q26" s="225"/>
    </row>
    <row r="27" spans="1:17" s="42" customFormat="1" ht="12" thickBot="1" x14ac:dyDescent="0.25">
      <c r="A27" s="64">
        <v>19</v>
      </c>
      <c r="B27" s="20" t="s">
        <v>11</v>
      </c>
      <c r="C27" s="26"/>
      <c r="D27" s="141"/>
      <c r="E27" s="141"/>
      <c r="F27" s="147"/>
      <c r="G27" s="141"/>
      <c r="H27" s="141"/>
      <c r="I27" s="139"/>
      <c r="J27" s="141"/>
      <c r="K27" s="94">
        <f>O26</f>
        <v>0</v>
      </c>
      <c r="L27" s="87"/>
      <c r="M27" s="35"/>
      <c r="N27" s="84"/>
      <c r="O27" s="236"/>
      <c r="P27" s="44"/>
    </row>
    <row r="28" spans="1:17" s="42" customFormat="1" ht="12" x14ac:dyDescent="0.2">
      <c r="A28" s="73">
        <v>20</v>
      </c>
      <c r="B28" s="18" t="s">
        <v>15</v>
      </c>
      <c r="C28" s="25"/>
      <c r="D28" s="143"/>
      <c r="E28" s="143"/>
      <c r="F28" s="165"/>
      <c r="G28" s="143"/>
      <c r="H28" s="144"/>
      <c r="I28" s="144"/>
      <c r="J28" s="143"/>
      <c r="K28" s="93">
        <f>SUM(K21:K27)</f>
        <v>0</v>
      </c>
      <c r="L28" s="87"/>
      <c r="M28" s="242" t="s">
        <v>35</v>
      </c>
      <c r="N28" s="253">
        <v>0</v>
      </c>
      <c r="O28" s="254"/>
      <c r="P28" s="44"/>
    </row>
    <row r="29" spans="1:17" s="42" customFormat="1" ht="12.6" thickBot="1" x14ac:dyDescent="0.3">
      <c r="A29" s="64">
        <v>21</v>
      </c>
      <c r="B29" s="232" t="s">
        <v>73</v>
      </c>
      <c r="C29" s="159"/>
      <c r="D29" s="95"/>
      <c r="E29" s="95"/>
      <c r="F29" s="137"/>
      <c r="G29" s="137"/>
      <c r="H29" s="95"/>
      <c r="I29" s="96"/>
      <c r="J29" s="96"/>
      <c r="K29" s="97" t="str">
        <f>IF(K28&lt;=(K20+O16)*65%,"richtig",FALSE)</f>
        <v>richtig</v>
      </c>
      <c r="L29" s="87"/>
      <c r="M29" s="237"/>
      <c r="N29" s="109"/>
      <c r="O29" s="117"/>
      <c r="P29" s="44"/>
    </row>
    <row r="30" spans="1:17" s="42" customFormat="1" ht="12" customHeight="1" x14ac:dyDescent="0.25">
      <c r="A30" s="64">
        <v>22</v>
      </c>
      <c r="B30" s="17" t="s">
        <v>0</v>
      </c>
      <c r="C30" s="154"/>
      <c r="D30" s="145"/>
      <c r="E30" s="146"/>
      <c r="F30" s="146"/>
      <c r="G30" s="146"/>
      <c r="H30" s="146"/>
      <c r="I30" s="146"/>
      <c r="J30" s="146"/>
      <c r="K30" s="98">
        <f>IF(K14+O16&gt;=2500000.01,0,IF(K31+K32+K33+K34+K36+K35&gt;=1000000,0,IF(K26+K31+K32+K33+K34+K36+K35&gt;(K20+O16)*65%,(K20+O16)*65%-K31-K32-K33-K34-K36-K35,K26)))</f>
        <v>0</v>
      </c>
      <c r="L30" s="87"/>
      <c r="M30" s="243" t="s">
        <v>13</v>
      </c>
      <c r="N30" s="255"/>
      <c r="O30" s="256"/>
      <c r="P30" s="44"/>
    </row>
    <row r="31" spans="1:17" s="42" customFormat="1" ht="12" x14ac:dyDescent="0.25">
      <c r="A31" s="73">
        <v>23</v>
      </c>
      <c r="B31" s="15" t="s">
        <v>11</v>
      </c>
      <c r="C31" s="155"/>
      <c r="D31" s="142"/>
      <c r="E31" s="147"/>
      <c r="F31" s="147"/>
      <c r="G31" s="147"/>
      <c r="H31" s="147"/>
      <c r="I31" s="147"/>
      <c r="J31" s="147"/>
      <c r="K31" s="100">
        <f>K27</f>
        <v>0</v>
      </c>
      <c r="L31" s="87"/>
      <c r="M31" s="237"/>
      <c r="N31" s="46"/>
      <c r="O31" s="51"/>
      <c r="P31" s="44"/>
    </row>
    <row r="32" spans="1:17" s="42" customFormat="1" ht="12" x14ac:dyDescent="0.25">
      <c r="A32" s="64">
        <v>24</v>
      </c>
      <c r="B32" s="15" t="s">
        <v>33</v>
      </c>
      <c r="C32" s="155"/>
      <c r="D32" s="142"/>
      <c r="E32" s="147"/>
      <c r="F32" s="147"/>
      <c r="G32" s="147"/>
      <c r="H32" s="147"/>
      <c r="I32" s="147"/>
      <c r="J32" s="147"/>
      <c r="K32" s="100">
        <f>IF(K21+K27&gt;=1000000,1000000-K27,IF(K21+K27&gt;K20*65%,K21-K27,K21))</f>
        <v>0</v>
      </c>
      <c r="L32" s="99"/>
      <c r="M32" s="243" t="s">
        <v>17</v>
      </c>
      <c r="N32" s="257">
        <f>IF(K37&lt;N30,K37,N30)</f>
        <v>0</v>
      </c>
      <c r="O32" s="258"/>
      <c r="P32" s="44"/>
    </row>
    <row r="33" spans="1:16" s="42" customFormat="1" ht="12" x14ac:dyDescent="0.25">
      <c r="A33" s="64">
        <v>25</v>
      </c>
      <c r="B33" s="15" t="s">
        <v>23</v>
      </c>
      <c r="C33" s="155"/>
      <c r="D33" s="142"/>
      <c r="E33" s="147"/>
      <c r="F33" s="147"/>
      <c r="G33" s="147"/>
      <c r="H33" s="147"/>
      <c r="I33" s="147"/>
      <c r="J33" s="147"/>
      <c r="K33" s="100">
        <f>IF(K22=0,0,IF(K31+K32&gt;=1000000,0,IF(K21+K22+K27&gt;=1000000,1000000-K21-K27,K22)))</f>
        <v>0</v>
      </c>
      <c r="M33" s="244"/>
      <c r="N33" s="102"/>
      <c r="O33" s="51"/>
      <c r="P33" s="44"/>
    </row>
    <row r="34" spans="1:16" s="42" customFormat="1" ht="12" x14ac:dyDescent="0.25">
      <c r="A34" s="73">
        <v>26</v>
      </c>
      <c r="B34" s="13" t="s">
        <v>22</v>
      </c>
      <c r="C34" s="156"/>
      <c r="D34" s="142"/>
      <c r="E34" s="147"/>
      <c r="F34" s="147"/>
      <c r="G34" s="147"/>
      <c r="H34" s="147"/>
      <c r="I34" s="148"/>
      <c r="J34" s="147"/>
      <c r="K34" s="100">
        <f>IF(K23=0,0,IF(K31+K32+K33&gt;=1000000,0,IF(K21+K22+K23+K27&gt;=1000000,1000000-K21-K22-K27,K23)))</f>
        <v>0</v>
      </c>
      <c r="L34" s="87"/>
      <c r="M34" s="267" t="s">
        <v>88</v>
      </c>
      <c r="N34" s="259">
        <f>IF(N28+N32&gt;1000000,1000000-N28,N32)</f>
        <v>0</v>
      </c>
      <c r="O34" s="260"/>
      <c r="P34" s="44"/>
    </row>
    <row r="35" spans="1:16" s="42" customFormat="1" ht="12.6" thickBot="1" x14ac:dyDescent="0.3">
      <c r="A35" s="64">
        <v>27</v>
      </c>
      <c r="B35" s="27" t="s">
        <v>21</v>
      </c>
      <c r="C35" s="157"/>
      <c r="D35" s="149"/>
      <c r="E35" s="150"/>
      <c r="F35" s="150"/>
      <c r="G35" s="150"/>
      <c r="H35" s="150"/>
      <c r="I35" s="151"/>
      <c r="J35" s="150"/>
      <c r="K35" s="101">
        <f>IF(K25=0,0,IF(K31+K32+K33+K34&gt;=1000000,0,IF(K21+K22+K23+K25+K27&gt;=1000000,1000000-K21-K22-K23-K27,K25)))</f>
        <v>0</v>
      </c>
      <c r="L35" s="43"/>
      <c r="M35" s="268"/>
      <c r="N35" s="261"/>
      <c r="O35" s="262"/>
      <c r="P35" s="44"/>
    </row>
    <row r="36" spans="1:16" s="42" customFormat="1" x14ac:dyDescent="0.25">
      <c r="A36" s="64">
        <v>28</v>
      </c>
      <c r="B36" s="13" t="s">
        <v>72</v>
      </c>
      <c r="C36" s="156"/>
      <c r="D36" s="142"/>
      <c r="E36" s="147"/>
      <c r="F36" s="147"/>
      <c r="G36" s="147"/>
      <c r="H36" s="147"/>
      <c r="I36" s="147"/>
      <c r="J36" s="147"/>
      <c r="K36" s="100">
        <f>IF(K24=0,0,IF(K31+K32+K33+K34+K35&gt;=1000000,0,IF(K21+K22+K23+K24+K25+K27&gt;=1000000,1000000-K21-K22-K23-K25-K27,K24)))</f>
        <v>0</v>
      </c>
      <c r="L36" s="43"/>
      <c r="M36" s="1"/>
      <c r="N36" s="28"/>
      <c r="O36" s="106"/>
    </row>
    <row r="37" spans="1:16" ht="13.8" thickBot="1" x14ac:dyDescent="0.3">
      <c r="A37" s="73">
        <v>29</v>
      </c>
      <c r="B37" s="103" t="s">
        <v>14</v>
      </c>
      <c r="C37" s="158"/>
      <c r="D37" s="152"/>
      <c r="E37" s="153"/>
      <c r="F37" s="153"/>
      <c r="G37" s="153"/>
      <c r="H37" s="153"/>
      <c r="I37" s="153"/>
      <c r="J37" s="153"/>
      <c r="K37" s="104">
        <f>SUM(K30:K36)</f>
        <v>0</v>
      </c>
      <c r="L37" s="29"/>
      <c r="M37" s="246"/>
      <c r="N37" s="246"/>
      <c r="O37" s="30"/>
    </row>
    <row r="38" spans="1:16" x14ac:dyDescent="0.25">
      <c r="A38" s="31"/>
      <c r="B38" s="177"/>
      <c r="C38" s="177"/>
      <c r="D38" s="177"/>
      <c r="E38" s="177"/>
      <c r="F38" s="177"/>
      <c r="G38" s="177"/>
      <c r="J38" s="1"/>
    </row>
    <row r="39" spans="1:16" x14ac:dyDescent="0.25">
      <c r="B39" s="177"/>
      <c r="C39" s="177"/>
      <c r="D39" s="177"/>
      <c r="E39" s="177"/>
      <c r="F39" s="177"/>
      <c r="G39" s="177"/>
      <c r="I39" s="3"/>
      <c r="J39" s="1"/>
      <c r="K39" s="28"/>
    </row>
    <row r="40" spans="1:16" x14ac:dyDescent="0.25">
      <c r="B40" s="31"/>
      <c r="C40" s="177"/>
      <c r="D40" s="177"/>
      <c r="E40" s="177"/>
      <c r="F40" s="177"/>
      <c r="G40" s="177"/>
      <c r="I40" s="3"/>
      <c r="J40" s="1"/>
      <c r="K40" s="28"/>
    </row>
    <row r="41" spans="1:16" x14ac:dyDescent="0.25">
      <c r="B41" s="31"/>
      <c r="C41" s="178"/>
      <c r="D41" s="178"/>
      <c r="E41" s="178"/>
      <c r="F41" s="178"/>
      <c r="G41" s="178"/>
      <c r="H41" s="3"/>
      <c r="I41" s="3"/>
      <c r="J41" s="1"/>
      <c r="K41" s="28"/>
    </row>
    <row r="42" spans="1:16" x14ac:dyDescent="0.25">
      <c r="B42" s="177"/>
      <c r="C42" s="177"/>
      <c r="D42" s="177"/>
      <c r="E42" s="177"/>
      <c r="F42" s="177"/>
      <c r="G42" s="177"/>
      <c r="I42" s="3"/>
      <c r="J42" s="1"/>
      <c r="K42" s="28"/>
    </row>
    <row r="43" spans="1:16" x14ac:dyDescent="0.25">
      <c r="B43" s="177"/>
      <c r="C43" s="177"/>
      <c r="D43" s="177"/>
      <c r="E43" s="177"/>
      <c r="F43" s="177"/>
      <c r="G43" s="177"/>
    </row>
    <row r="44" spans="1:16" x14ac:dyDescent="0.25">
      <c r="B44" s="177"/>
      <c r="C44" s="177"/>
      <c r="D44" s="177"/>
      <c r="E44" s="177"/>
      <c r="F44" s="177"/>
      <c r="G44" s="177"/>
    </row>
    <row r="45" spans="1:16" x14ac:dyDescent="0.25">
      <c r="B45" s="177"/>
      <c r="C45" s="177"/>
      <c r="D45" s="177"/>
      <c r="E45" s="177"/>
      <c r="F45" s="177"/>
      <c r="G45" s="177"/>
    </row>
    <row r="46" spans="1:16" x14ac:dyDescent="0.25">
      <c r="B46" s="177"/>
      <c r="C46" s="177"/>
      <c r="D46" s="177"/>
      <c r="E46" s="177"/>
      <c r="F46" s="177"/>
      <c r="G46" s="177"/>
    </row>
    <row r="47" spans="1:16" x14ac:dyDescent="0.25">
      <c r="B47" s="177"/>
      <c r="C47" s="177"/>
      <c r="D47" s="177"/>
      <c r="E47" s="177"/>
      <c r="F47" s="177"/>
      <c r="G47" s="177"/>
    </row>
  </sheetData>
  <sheetProtection algorithmName="SHA-512" hashValue="x40qqhVByTTyAbIojiB3+YwHVkvmZf8towRUBZSC921E0QKxwljQpKaB8iZwTxdk06rwwxNGgcerSee8xuVEPw==" saltValue="p4SuJtnaZX+NpXCfQM9g4Q==" spinCount="100000" sheet="1" selectLockedCells="1"/>
  <customSheetViews>
    <customSheetView guid="{100E8EDB-E068-4E9B-B519-239931047388}" fitToPage="1" topLeftCell="B1">
      <selection activeCell="F6" sqref="F6"/>
      <pageMargins left="0.19685039370078741" right="0" top="0.78740157480314965" bottom="0.78740157480314965" header="0.31496062992125984" footer="0.31496062992125984"/>
      <pageSetup paperSize="9" scale="69" orientation="landscape" r:id="rId1"/>
    </customSheetView>
  </customSheetViews>
  <mergeCells count="49">
    <mergeCell ref="D16:E16"/>
    <mergeCell ref="D18:E18"/>
    <mergeCell ref="D19:E19"/>
    <mergeCell ref="B2:K2"/>
    <mergeCell ref="B7:B8"/>
    <mergeCell ref="C7:C8"/>
    <mergeCell ref="I19:J19"/>
    <mergeCell ref="I16:J16"/>
    <mergeCell ref="I17:J17"/>
    <mergeCell ref="I18:J18"/>
    <mergeCell ref="I13:J13"/>
    <mergeCell ref="I14:J14"/>
    <mergeCell ref="D11:E11"/>
    <mergeCell ref="D12:E12"/>
    <mergeCell ref="I15:J15"/>
    <mergeCell ref="D15:E15"/>
    <mergeCell ref="M2:O2"/>
    <mergeCell ref="D4:K4"/>
    <mergeCell ref="I6:J6"/>
    <mergeCell ref="D7:D8"/>
    <mergeCell ref="E7:E8"/>
    <mergeCell ref="F7:F8"/>
    <mergeCell ref="G7:G8"/>
    <mergeCell ref="H7:H8"/>
    <mergeCell ref="I7:I8"/>
    <mergeCell ref="M6:N6"/>
    <mergeCell ref="J7:J8"/>
    <mergeCell ref="M9:N9"/>
    <mergeCell ref="M10:N10"/>
    <mergeCell ref="I10:J10"/>
    <mergeCell ref="I12:J12"/>
    <mergeCell ref="M13:N13"/>
    <mergeCell ref="I11:J11"/>
    <mergeCell ref="M12:N12"/>
    <mergeCell ref="M37:N37"/>
    <mergeCell ref="M11:O11"/>
    <mergeCell ref="M19:O19"/>
    <mergeCell ref="N28:O28"/>
    <mergeCell ref="N30:O30"/>
    <mergeCell ref="N32:O32"/>
    <mergeCell ref="N34:O35"/>
    <mergeCell ref="M25:N25"/>
    <mergeCell ref="M26:N26"/>
    <mergeCell ref="M34:M35"/>
    <mergeCell ref="M21:N21"/>
    <mergeCell ref="M24:N24"/>
    <mergeCell ref="M17:N17"/>
    <mergeCell ref="M14:N14"/>
    <mergeCell ref="M15:N16"/>
  </mergeCells>
  <pageMargins left="0.19685039370078741" right="0" top="0.78740157480314965" bottom="0.78740157480314965" header="0.31496062992125984" footer="0.31496062992125984"/>
  <pageSetup paperSize="9" scale="69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4" zoomScaleNormal="100" zoomScaleSheetLayoutView="70" workbookViewId="0">
      <selection activeCell="D16" sqref="D16"/>
    </sheetView>
  </sheetViews>
  <sheetFormatPr baseColWidth="10" defaultRowHeight="13.2" x14ac:dyDescent="0.25"/>
  <cols>
    <col min="1" max="1" width="2.5546875" customWidth="1"/>
    <col min="2" max="2" width="5" customWidth="1"/>
    <col min="3" max="3" width="17.33203125" customWidth="1"/>
    <col min="4" max="4" width="14.109375" style="128" customWidth="1"/>
    <col min="5" max="6" width="13.6640625" style="128" customWidth="1"/>
    <col min="7" max="7" width="14.33203125" style="128" customWidth="1"/>
    <col min="8" max="8" width="13.6640625" style="128" customWidth="1"/>
    <col min="9" max="12" width="14.5546875" style="128" customWidth="1"/>
    <col min="13" max="13" width="13.5546875" customWidth="1"/>
    <col min="14" max="14" width="11.6640625" bestFit="1" customWidth="1"/>
  </cols>
  <sheetData>
    <row r="1" spans="1:12" x14ac:dyDescent="0.25">
      <c r="B1" t="s">
        <v>37</v>
      </c>
      <c r="F1" s="319" t="s">
        <v>3</v>
      </c>
      <c r="G1" s="319"/>
      <c r="H1" s="319"/>
      <c r="I1" s="179"/>
      <c r="J1" s="180" t="s">
        <v>36</v>
      </c>
      <c r="K1" s="181">
        <f ca="1">NOW()</f>
        <v>46045.317769444446</v>
      </c>
    </row>
    <row r="3" spans="1:12" ht="27.6" customHeight="1" x14ac:dyDescent="0.25">
      <c r="A3" s="182"/>
      <c r="B3" s="326" t="s">
        <v>46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2" x14ac:dyDescent="0.25">
      <c r="A4" s="182"/>
      <c r="B4" s="185" t="s">
        <v>38</v>
      </c>
      <c r="C4" s="185"/>
      <c r="D4" s="320">
        <f>AFP!D4</f>
        <v>0</v>
      </c>
      <c r="E4" s="321"/>
      <c r="F4" s="321"/>
      <c r="G4" s="184"/>
      <c r="H4" s="184"/>
      <c r="I4" s="184"/>
      <c r="J4" s="184"/>
      <c r="K4" s="184"/>
      <c r="L4" s="184"/>
    </row>
    <row r="5" spans="1:12" x14ac:dyDescent="0.25">
      <c r="A5" s="182"/>
      <c r="B5" s="186"/>
      <c r="C5" s="185" t="s">
        <v>47</v>
      </c>
      <c r="D5" s="322" t="str">
        <f>AFP!M4</f>
        <v xml:space="preserve"> -5411.72</v>
      </c>
      <c r="E5" s="322"/>
      <c r="F5" s="322"/>
      <c r="G5" s="184"/>
      <c r="H5" s="184"/>
      <c r="I5" s="184"/>
      <c r="J5" s="184"/>
      <c r="K5" s="184"/>
      <c r="L5" s="184"/>
    </row>
    <row r="6" spans="1:12" x14ac:dyDescent="0.25">
      <c r="A6" s="182"/>
      <c r="B6" s="183"/>
      <c r="C6" s="182"/>
      <c r="D6" s="184"/>
      <c r="E6" s="184"/>
      <c r="F6" s="184"/>
      <c r="G6" s="184"/>
      <c r="H6" s="184"/>
      <c r="I6" s="184"/>
      <c r="J6" s="184"/>
      <c r="K6" s="184"/>
      <c r="L6" s="184"/>
    </row>
    <row r="7" spans="1:12" ht="66" x14ac:dyDescent="0.25">
      <c r="A7" s="182"/>
      <c r="B7" s="187"/>
      <c r="C7" s="188" t="s">
        <v>39</v>
      </c>
      <c r="D7" s="323" t="s">
        <v>44</v>
      </c>
      <c r="E7" s="189" t="s">
        <v>76</v>
      </c>
      <c r="F7" s="190" t="s">
        <v>77</v>
      </c>
      <c r="G7" s="190" t="s">
        <v>78</v>
      </c>
      <c r="H7" s="190" t="s">
        <v>52</v>
      </c>
      <c r="I7" s="190" t="s">
        <v>67</v>
      </c>
      <c r="J7" s="190" t="s">
        <v>53</v>
      </c>
      <c r="K7" s="190" t="s">
        <v>63</v>
      </c>
      <c r="L7"/>
    </row>
    <row r="8" spans="1:12" ht="81.599999999999994" x14ac:dyDescent="0.25">
      <c r="A8" s="191"/>
      <c r="B8" s="192"/>
      <c r="C8" s="193"/>
      <c r="D8" s="324"/>
      <c r="E8" s="194" t="s">
        <v>34</v>
      </c>
      <c r="F8" s="195" t="s">
        <v>54</v>
      </c>
      <c r="G8" s="195" t="s">
        <v>55</v>
      </c>
      <c r="H8" s="195" t="s">
        <v>56</v>
      </c>
      <c r="I8" s="195" t="s">
        <v>68</v>
      </c>
      <c r="J8" s="195" t="s">
        <v>62</v>
      </c>
      <c r="K8" s="195" t="s">
        <v>64</v>
      </c>
      <c r="L8"/>
    </row>
    <row r="9" spans="1:12" x14ac:dyDescent="0.25">
      <c r="C9" s="196" t="s">
        <v>79</v>
      </c>
      <c r="D9" s="197"/>
      <c r="E9" s="198">
        <f>D9</f>
        <v>0</v>
      </c>
      <c r="F9" s="202"/>
      <c r="G9" s="199"/>
      <c r="H9" s="199"/>
      <c r="I9" s="199"/>
      <c r="J9" s="199"/>
      <c r="K9" s="199"/>
      <c r="L9"/>
    </row>
    <row r="10" spans="1:12" ht="13.2" customHeight="1" x14ac:dyDescent="0.25">
      <c r="C10" s="230" t="s">
        <v>80</v>
      </c>
      <c r="D10" s="201"/>
      <c r="E10" s="202"/>
      <c r="F10" s="198">
        <f>D10</f>
        <v>0</v>
      </c>
      <c r="G10" s="199"/>
      <c r="H10" s="199"/>
      <c r="I10" s="199"/>
      <c r="J10" s="199"/>
      <c r="K10" s="199"/>
      <c r="L10"/>
    </row>
    <row r="11" spans="1:12" ht="27.6" customHeight="1" x14ac:dyDescent="0.25">
      <c r="C11" s="200" t="s">
        <v>84</v>
      </c>
      <c r="D11" s="201"/>
      <c r="E11" s="199"/>
      <c r="F11" s="199"/>
      <c r="G11" s="198">
        <f>D11</f>
        <v>0</v>
      </c>
      <c r="H11" s="199"/>
      <c r="I11" s="199"/>
      <c r="J11" s="199"/>
      <c r="K11" s="199"/>
      <c r="L11"/>
    </row>
    <row r="12" spans="1:12" x14ac:dyDescent="0.25">
      <c r="C12" s="203" t="s">
        <v>81</v>
      </c>
      <c r="D12" s="201"/>
      <c r="E12" s="199"/>
      <c r="F12" s="199"/>
      <c r="G12" s="199"/>
      <c r="H12" s="198">
        <f>D12</f>
        <v>0</v>
      </c>
      <c r="I12" s="199"/>
      <c r="J12" s="199"/>
      <c r="K12" s="199"/>
    </row>
    <row r="13" spans="1:12" x14ac:dyDescent="0.25">
      <c r="C13" s="200" t="s">
        <v>82</v>
      </c>
      <c r="D13" s="201"/>
      <c r="E13" s="199"/>
      <c r="F13" s="199"/>
      <c r="G13" s="199"/>
      <c r="H13" s="199"/>
      <c r="I13" s="198">
        <f>D13</f>
        <v>0</v>
      </c>
      <c r="J13" s="199"/>
      <c r="K13" s="199"/>
    </row>
    <row r="14" spans="1:12" ht="13.2" customHeight="1" x14ac:dyDescent="0.25">
      <c r="C14" s="230" t="s">
        <v>83</v>
      </c>
      <c r="D14" s="201"/>
      <c r="E14" s="199"/>
      <c r="F14" s="199"/>
      <c r="G14" s="199"/>
      <c r="H14" s="199"/>
      <c r="I14" s="199"/>
      <c r="J14" s="198">
        <f>D14</f>
        <v>0</v>
      </c>
      <c r="K14" s="199"/>
    </row>
    <row r="15" spans="1:12" ht="27.6" customHeight="1" x14ac:dyDescent="0.25">
      <c r="C15" s="231" t="s">
        <v>85</v>
      </c>
      <c r="D15" s="201"/>
      <c r="E15" s="199"/>
      <c r="F15" s="199"/>
      <c r="G15" s="199"/>
      <c r="H15" s="199"/>
      <c r="I15" s="199"/>
      <c r="J15" s="199"/>
      <c r="K15" s="198">
        <f>D15</f>
        <v>0</v>
      </c>
      <c r="L15"/>
    </row>
    <row r="16" spans="1:12" x14ac:dyDescent="0.25">
      <c r="C16" s="203" t="s">
        <v>17</v>
      </c>
      <c r="D16" s="204">
        <f t="shared" ref="D16:K16" si="0">SUM(D9:D15)</f>
        <v>0</v>
      </c>
      <c r="E16" s="198">
        <f t="shared" si="0"/>
        <v>0</v>
      </c>
      <c r="F16" s="198">
        <f t="shared" si="0"/>
        <v>0</v>
      </c>
      <c r="G16" s="198">
        <f t="shared" si="0"/>
        <v>0</v>
      </c>
      <c r="H16" s="198">
        <f t="shared" si="0"/>
        <v>0</v>
      </c>
      <c r="I16" s="198">
        <f t="shared" si="0"/>
        <v>0</v>
      </c>
      <c r="J16" s="198">
        <f t="shared" si="0"/>
        <v>0</v>
      </c>
      <c r="K16" s="198">
        <f t="shared" si="0"/>
        <v>0</v>
      </c>
      <c r="L16"/>
    </row>
    <row r="17" spans="3:13" ht="53.4" thickBot="1" x14ac:dyDescent="0.3">
      <c r="C17" s="205" t="s">
        <v>45</v>
      </c>
      <c r="D17" s="206">
        <f>SUM(E17:J17)</f>
        <v>0</v>
      </c>
      <c r="E17" s="207">
        <f t="shared" ref="E17:K17" si="1">E16</f>
        <v>0</v>
      </c>
      <c r="F17" s="207">
        <f t="shared" si="1"/>
        <v>0</v>
      </c>
      <c r="G17" s="207">
        <f t="shared" si="1"/>
        <v>0</v>
      </c>
      <c r="H17" s="207">
        <f t="shared" si="1"/>
        <v>0</v>
      </c>
      <c r="I17" s="207">
        <f t="shared" si="1"/>
        <v>0</v>
      </c>
      <c r="J17" s="207">
        <f t="shared" si="1"/>
        <v>0</v>
      </c>
      <c r="K17" s="207">
        <f t="shared" si="1"/>
        <v>0</v>
      </c>
      <c r="L17"/>
      <c r="M17" s="128"/>
    </row>
    <row r="18" spans="3:13" ht="14.4" thickTop="1" thickBot="1" x14ac:dyDescent="0.3">
      <c r="C18" s="325" t="s">
        <v>40</v>
      </c>
      <c r="D18" s="325"/>
      <c r="E18" s="208">
        <f>IF(E17=0,0,E17/D17)</f>
        <v>0</v>
      </c>
      <c r="F18" s="208">
        <f>IF(F17=0,0,F17/D17)</f>
        <v>0</v>
      </c>
      <c r="G18" s="208">
        <f>IF(G17=0,0,G17/D17)</f>
        <v>0</v>
      </c>
      <c r="H18" s="208">
        <f>IF(H17=0,0,H17/D17)</f>
        <v>0</v>
      </c>
      <c r="I18" s="208">
        <f>IF(I17=0,0,I17/D17)</f>
        <v>0</v>
      </c>
      <c r="J18" s="208">
        <f>IF(J17=0,0,J17/D17)</f>
        <v>0</v>
      </c>
      <c r="K18" s="209">
        <v>0</v>
      </c>
      <c r="L18" s="223">
        <f>SUM(E18:J18)</f>
        <v>0</v>
      </c>
      <c r="M18" s="224" t="str">
        <f>IF(OR(L18=0%,100%),"Richtig",FALSE)</f>
        <v>Richtig</v>
      </c>
    </row>
    <row r="19" spans="3:13" s="129" customFormat="1" ht="27" thickTop="1" x14ac:dyDescent="0.25">
      <c r="C19" s="210" t="s">
        <v>41</v>
      </c>
      <c r="D19" s="211"/>
      <c r="E19" s="217">
        <f>D19*E18</f>
        <v>0</v>
      </c>
      <c r="F19" s="217">
        <f>D19*F18</f>
        <v>0</v>
      </c>
      <c r="G19" s="217">
        <f>D19*G18</f>
        <v>0</v>
      </c>
      <c r="H19" s="217">
        <f>D19*H18</f>
        <v>0</v>
      </c>
      <c r="I19" s="217">
        <f>D19*I18</f>
        <v>0</v>
      </c>
      <c r="J19" s="217">
        <f>D19*J18</f>
        <v>0</v>
      </c>
      <c r="K19" s="219"/>
    </row>
    <row r="20" spans="3:13" x14ac:dyDescent="0.25">
      <c r="C20" s="212"/>
      <c r="D20" s="201"/>
      <c r="E20" s="218">
        <f>D20*E18</f>
        <v>0</v>
      </c>
      <c r="F20" s="218">
        <f>D20*F18</f>
        <v>0</v>
      </c>
      <c r="G20" s="218">
        <f>D20*G18</f>
        <v>0</v>
      </c>
      <c r="H20" s="218">
        <f>D20*H18</f>
        <v>0</v>
      </c>
      <c r="I20" s="218">
        <f>D20*I18</f>
        <v>0</v>
      </c>
      <c r="J20" s="218">
        <f>D20*J18</f>
        <v>0</v>
      </c>
      <c r="K20" s="220"/>
      <c r="L20"/>
    </row>
    <row r="21" spans="3:13" x14ac:dyDescent="0.25">
      <c r="C21" s="212"/>
      <c r="D21" s="201"/>
      <c r="E21" s="218">
        <f>D21*E18</f>
        <v>0</v>
      </c>
      <c r="F21" s="218">
        <f>D21*F18</f>
        <v>0</v>
      </c>
      <c r="G21" s="218">
        <f>D21*G18</f>
        <v>0</v>
      </c>
      <c r="H21" s="218">
        <f>D21*H18</f>
        <v>0</v>
      </c>
      <c r="I21" s="218">
        <f>D21*I18</f>
        <v>0</v>
      </c>
      <c r="J21" s="218">
        <f>D21*J18</f>
        <v>0</v>
      </c>
      <c r="K21" s="220"/>
      <c r="L21"/>
    </row>
    <row r="22" spans="3:13" x14ac:dyDescent="0.25">
      <c r="C22" s="212"/>
      <c r="D22" s="201"/>
      <c r="E22" s="218">
        <f>D22*E18</f>
        <v>0</v>
      </c>
      <c r="F22" s="218">
        <f>D22*F18</f>
        <v>0</v>
      </c>
      <c r="G22" s="218">
        <f>D22*G18</f>
        <v>0</v>
      </c>
      <c r="H22" s="218">
        <f>D22*H18</f>
        <v>0</v>
      </c>
      <c r="I22" s="218">
        <f>D22*I18</f>
        <v>0</v>
      </c>
      <c r="J22" s="218">
        <f>D22*J18</f>
        <v>0</v>
      </c>
      <c r="K22" s="220"/>
      <c r="L22"/>
    </row>
    <row r="23" spans="3:13" x14ac:dyDescent="0.25">
      <c r="C23" s="212"/>
      <c r="D23" s="201"/>
      <c r="E23" s="218">
        <f>D23*E18</f>
        <v>0</v>
      </c>
      <c r="F23" s="218">
        <f>D23*F18</f>
        <v>0</v>
      </c>
      <c r="G23" s="218">
        <f>D23*G18</f>
        <v>0</v>
      </c>
      <c r="H23" s="218">
        <f>D23*H18</f>
        <v>0</v>
      </c>
      <c r="I23" s="218">
        <f>D23*I18</f>
        <v>0</v>
      </c>
      <c r="J23" s="218">
        <f>D23*J18</f>
        <v>0</v>
      </c>
      <c r="K23" s="220"/>
      <c r="L23"/>
    </row>
    <row r="24" spans="3:13" ht="26.4" x14ac:dyDescent="0.25">
      <c r="C24" s="213" t="s">
        <v>42</v>
      </c>
      <c r="D24" s="214">
        <f t="shared" ref="D24:I24" si="2">SUM(D19:D23)</f>
        <v>0</v>
      </c>
      <c r="E24" s="214">
        <f t="shared" si="2"/>
        <v>0</v>
      </c>
      <c r="F24" s="214">
        <f t="shared" ref="F24:G24" si="3">SUM(F19:F23)</f>
        <v>0</v>
      </c>
      <c r="G24" s="214">
        <f t="shared" si="3"/>
        <v>0</v>
      </c>
      <c r="H24" s="214">
        <f t="shared" si="2"/>
        <v>0</v>
      </c>
      <c r="I24" s="214">
        <f t="shared" si="2"/>
        <v>0</v>
      </c>
      <c r="J24" s="214">
        <f t="shared" ref="J24" si="4">SUM(J19:J23)</f>
        <v>0</v>
      </c>
      <c r="K24" s="221"/>
      <c r="L24"/>
      <c r="M24" s="128"/>
    </row>
    <row r="25" spans="3:13" ht="13.8" thickBot="1" x14ac:dyDescent="0.3">
      <c r="C25" s="215" t="s">
        <v>43</v>
      </c>
      <c r="D25" s="216">
        <f t="shared" ref="D25:K25" si="5">D17+D24</f>
        <v>0</v>
      </c>
      <c r="E25" s="216">
        <f t="shared" si="5"/>
        <v>0</v>
      </c>
      <c r="F25" s="216">
        <f t="shared" si="5"/>
        <v>0</v>
      </c>
      <c r="G25" s="216">
        <f t="shared" si="5"/>
        <v>0</v>
      </c>
      <c r="H25" s="216">
        <f t="shared" si="5"/>
        <v>0</v>
      </c>
      <c r="I25" s="216">
        <f t="shared" si="5"/>
        <v>0</v>
      </c>
      <c r="J25" s="216">
        <f t="shared" si="5"/>
        <v>0</v>
      </c>
      <c r="K25" s="216">
        <f t="shared" si="5"/>
        <v>0</v>
      </c>
      <c r="L25"/>
      <c r="M25" s="128"/>
    </row>
    <row r="27" spans="3:13" x14ac:dyDescent="0.25">
      <c r="C27" s="317" t="s">
        <v>48</v>
      </c>
      <c r="D27" s="318"/>
      <c r="E27" s="318"/>
      <c r="F27" s="318"/>
      <c r="G27" s="318"/>
      <c r="H27" s="318"/>
      <c r="I27" s="318"/>
      <c r="J27" s="318"/>
      <c r="K27" s="318"/>
      <c r="L27" s="318"/>
    </row>
    <row r="28" spans="3:13" x14ac:dyDescent="0.25"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222" t="str">
        <f>IF(D24=SUM(E24:J24),"Richtig",FALSE)</f>
        <v>Richtig</v>
      </c>
    </row>
  </sheetData>
  <sheetProtection algorithmName="SHA-512" hashValue="jKg25l5P7eHzat/cYbhbUVVZncxZKAWhQg40H2vIiL62d044Cri9xzHMx3vhfR1OEPDM0yAv+Y+fZY8xWKD5+w==" saltValue="x9aozGO7RIAHhM71iRMGEQ==" spinCount="100000" sheet="1" selectLockedCells="1"/>
  <customSheetViews>
    <customSheetView guid="{100E8EDB-E068-4E9B-B519-239931047388}" topLeftCell="A7">
      <selection activeCell="D9" sqref="D9"/>
      <colBreaks count="1" manualBreakCount="1">
        <brk id="12" max="1048575" man="1"/>
      </colBreaks>
      <pageMargins left="0.7" right="0.7" top="0.78740157499999996" bottom="0.78740157499999996" header="0.3" footer="0.3"/>
      <pageSetup paperSize="9" scale="58" orientation="portrait" r:id="rId1"/>
    </customSheetView>
  </customSheetViews>
  <mergeCells count="7">
    <mergeCell ref="C27:L28"/>
    <mergeCell ref="F1:H1"/>
    <mergeCell ref="D4:F4"/>
    <mergeCell ref="D5:F5"/>
    <mergeCell ref="D7:D8"/>
    <mergeCell ref="C18:D18"/>
    <mergeCell ref="B3:L3"/>
  </mergeCells>
  <pageMargins left="0.7" right="0.7" top="0.78740157499999996" bottom="0.78740157499999996" header="0.3" footer="0.3"/>
  <pageSetup paperSize="9" scale="58" orientation="portrait" r:id="rId2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AC802-6241-4D1C-B339-F0EF63DD3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E4B3CD1-FBE5-4DC9-85A2-BFD15626180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ADC4F3-6B6F-4B28-AC04-66BAF136FBC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2AF8F2-EB03-4164-9E73-F12DC2444D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AFP</vt:lpstr>
      <vt:lpstr>Anlage</vt:lpstr>
      <vt:lpstr>Anlage!Druckbereich</vt:lpstr>
    </vt:vector>
  </TitlesOfParts>
  <Company>LM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StALU WM-IFh (Frau Gottlieb-Fiedler)</cp:lastModifiedBy>
  <cp:lastPrinted>2025-08-05T06:55:53Z</cp:lastPrinted>
  <dcterms:created xsi:type="dcterms:W3CDTF">2006-07-25T12:33:35Z</dcterms:created>
  <dcterms:modified xsi:type="dcterms:W3CDTF">2026-01-23T06:38:03Z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